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Excels-Oktober -November\Dez zum korrigieren\"/>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salaire'!$A$1:$M$80</definedName>
    <definedName name="_xlnm.Print_Area" localSheetId="0">'Demande-Décompte'!$A$1:$F$66,'Demande-Décompte'!$R$1:$AB$40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 l="1"/>
  <c r="M12" i="2" l="1"/>
  <c r="K9" i="2"/>
  <c r="K10" i="2"/>
  <c r="K11" i="2"/>
  <c r="K12" i="2"/>
  <c r="J9" i="2"/>
  <c r="M9" i="2" s="1"/>
  <c r="J10" i="2"/>
  <c r="M10" i="2" s="1"/>
  <c r="J11" i="2"/>
  <c r="M11" i="2" s="1"/>
  <c r="J12" i="2"/>
  <c r="A39" i="1" l="1"/>
  <c r="R39" i="1" s="1"/>
  <c r="N70" i="2" l="1"/>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70" i="2" l="1"/>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T11" i="2"/>
  <c r="T10" i="2"/>
  <c r="T9" i="2"/>
  <c r="T8"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9" i="2" l="1"/>
  <c r="R8" i="2"/>
  <c r="S9" i="2"/>
  <c r="S8" i="2"/>
  <c r="R75" i="2" l="1"/>
  <c r="L9" i="11" l="1"/>
  <c r="A74" i="2" l="1"/>
  <c r="A73" i="2"/>
  <c r="A7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63" i="2"/>
  <c r="P68" i="2"/>
  <c r="P57" i="2"/>
  <c r="P65" i="2"/>
  <c r="P60" i="2"/>
  <c r="P56" i="2"/>
  <c r="P58" i="2"/>
  <c r="P62" i="2"/>
  <c r="P59" i="2"/>
  <c r="P67" i="2"/>
  <c r="P64" i="2"/>
  <c r="P66" i="2"/>
  <c r="P70" i="2"/>
  <c r="P61" i="2"/>
  <c r="P69" i="2"/>
  <c r="A26" i="11"/>
  <c r="A27" i="11"/>
  <c r="A28" i="11"/>
  <c r="L8" i="11" s="1"/>
  <c r="J8" i="11" l="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10" i="11"/>
  <c r="K28" i="11" s="1"/>
  <c r="K11" i="11"/>
  <c r="E28" i="11"/>
  <c r="D28" i="11"/>
  <c r="H28" i="11"/>
  <c r="D27" i="11"/>
  <c r="F27" i="11" s="1"/>
  <c r="H26" i="11"/>
  <c r="Q11" i="11"/>
  <c r="H27" i="11"/>
  <c r="E26" i="11"/>
  <c r="E27" i="11"/>
  <c r="D26" i="11"/>
  <c r="O11" i="11"/>
  <c r="G4" i="11"/>
  <c r="O12" i="11"/>
  <c r="O14" i="11"/>
  <c r="Q15" i="11"/>
  <c r="Q13" i="11"/>
  <c r="K26" i="11" l="1"/>
  <c r="K27" i="11"/>
  <c r="D29" i="11"/>
  <c r="O29" i="11"/>
  <c r="Q29" i="11"/>
  <c r="E29" i="11"/>
  <c r="H29" i="11"/>
  <c r="D3" i="2"/>
  <c r="C3" i="2"/>
  <c r="A3" i="2"/>
  <c r="K29" i="11" l="1"/>
  <c r="O9" i="2"/>
  <c r="O8" i="2"/>
  <c r="K8" i="2"/>
  <c r="J8" i="2"/>
  <c r="M8" i="2" s="1"/>
  <c r="B4" i="2"/>
  <c r="L72" i="2" l="1"/>
  <c r="L74" i="2"/>
  <c r="L73" i="2"/>
  <c r="H10" i="2"/>
  <c r="Q10" i="2" s="1"/>
  <c r="H11" i="2"/>
  <c r="Q11" i="2" s="1"/>
  <c r="H12" i="2"/>
  <c r="Q12" i="2" s="1"/>
  <c r="H9" i="2"/>
  <c r="Q9" i="2" s="1"/>
  <c r="H68" i="2"/>
  <c r="Q68" i="2" s="1"/>
  <c r="H60" i="2"/>
  <c r="Q60" i="2" s="1"/>
  <c r="H52" i="2"/>
  <c r="Q52" i="2" s="1"/>
  <c r="H44" i="2"/>
  <c r="Q44" i="2" s="1"/>
  <c r="H36" i="2"/>
  <c r="Q36" i="2" s="1"/>
  <c r="H28" i="2"/>
  <c r="Q28" i="2" s="1"/>
  <c r="H20" i="2"/>
  <c r="Q20" i="2" s="1"/>
  <c r="H67" i="2"/>
  <c r="Q67" i="2" s="1"/>
  <c r="H59" i="2"/>
  <c r="Q59" i="2" s="1"/>
  <c r="H51" i="2"/>
  <c r="Q51" i="2" s="1"/>
  <c r="H43" i="2"/>
  <c r="Q43" i="2" s="1"/>
  <c r="H27" i="2"/>
  <c r="Q27" i="2" s="1"/>
  <c r="H64" i="2"/>
  <c r="Q64" i="2" s="1"/>
  <c r="H56" i="2"/>
  <c r="Q56" i="2" s="1"/>
  <c r="H48" i="2"/>
  <c r="Q48" i="2" s="1"/>
  <c r="H40" i="2"/>
  <c r="Q40" i="2" s="1"/>
  <c r="H32" i="2"/>
  <c r="Q32" i="2" s="1"/>
  <c r="H24" i="2"/>
  <c r="Q24" i="2" s="1"/>
  <c r="H16" i="2"/>
  <c r="Q16" i="2" s="1"/>
  <c r="H63" i="2"/>
  <c r="Q63" i="2" s="1"/>
  <c r="H47" i="2"/>
  <c r="Q47" i="2" s="1"/>
  <c r="H39" i="2"/>
  <c r="Q39" i="2" s="1"/>
  <c r="H31" i="2"/>
  <c r="Q31" i="2" s="1"/>
  <c r="H62" i="2"/>
  <c r="Q62" i="2" s="1"/>
  <c r="H49" i="2"/>
  <c r="Q49" i="2" s="1"/>
  <c r="H34" i="2"/>
  <c r="Q34" i="2" s="1"/>
  <c r="H21" i="2"/>
  <c r="Q21" i="2" s="1"/>
  <c r="H61" i="2"/>
  <c r="Q61" i="2" s="1"/>
  <c r="H46" i="2"/>
  <c r="Q46" i="2" s="1"/>
  <c r="H33" i="2"/>
  <c r="Q33" i="2" s="1"/>
  <c r="H19" i="2"/>
  <c r="Q19" i="2" s="1"/>
  <c r="H58" i="2"/>
  <c r="Q58" i="2" s="1"/>
  <c r="H45" i="2"/>
  <c r="Q45" i="2" s="1"/>
  <c r="H30" i="2"/>
  <c r="Q30" i="2" s="1"/>
  <c r="H18" i="2"/>
  <c r="Q18" i="2" s="1"/>
  <c r="H57" i="2"/>
  <c r="Q57" i="2" s="1"/>
  <c r="H42" i="2"/>
  <c r="Q42" i="2" s="1"/>
  <c r="H29" i="2"/>
  <c r="Q29" i="2" s="1"/>
  <c r="H17" i="2"/>
  <c r="Q17" i="2" s="1"/>
  <c r="H70" i="2"/>
  <c r="Q70" i="2" s="1"/>
  <c r="H55" i="2"/>
  <c r="Q55" i="2" s="1"/>
  <c r="H41" i="2"/>
  <c r="Q41" i="2" s="1"/>
  <c r="H26" i="2"/>
  <c r="Q26" i="2" s="1"/>
  <c r="H15" i="2"/>
  <c r="Q15" i="2" s="1"/>
  <c r="H69" i="2"/>
  <c r="Q69" i="2" s="1"/>
  <c r="H54" i="2"/>
  <c r="Q54" i="2" s="1"/>
  <c r="H38" i="2"/>
  <c r="Q38" i="2" s="1"/>
  <c r="H25" i="2"/>
  <c r="Q25" i="2" s="1"/>
  <c r="H14" i="2"/>
  <c r="Q14" i="2" s="1"/>
  <c r="H66" i="2"/>
  <c r="Q66" i="2" s="1"/>
  <c r="H53" i="2"/>
  <c r="Q53" i="2" s="1"/>
  <c r="H37" i="2"/>
  <c r="Q37" i="2" s="1"/>
  <c r="H23" i="2"/>
  <c r="Q23" i="2" s="1"/>
  <c r="H13" i="2"/>
  <c r="Q13" i="2" s="1"/>
  <c r="H65" i="2"/>
  <c r="Q65" i="2" s="1"/>
  <c r="H50" i="2"/>
  <c r="Q50" i="2" s="1"/>
  <c r="H35" i="2"/>
  <c r="Q35" i="2" s="1"/>
  <c r="H22" i="2"/>
  <c r="Q22" i="2" s="1"/>
  <c r="C6" i="2"/>
  <c r="O7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75" i="2"/>
  <c r="H73" i="2"/>
  <c r="X27" i="1" s="1"/>
  <c r="P8" i="2"/>
  <c r="I72" i="2"/>
  <c r="F72" i="2"/>
  <c r="V25" i="1" s="1"/>
  <c r="E73" i="2"/>
  <c r="G73" i="2" s="1"/>
  <c r="I73" i="2"/>
  <c r="F73" i="2"/>
  <c r="X25" i="1" s="1"/>
  <c r="F74" i="2"/>
  <c r="Z25" i="1" s="1"/>
  <c r="E74" i="2"/>
  <c r="Z24" i="1" s="1"/>
  <c r="E72" i="2"/>
  <c r="V24" i="1" s="1"/>
  <c r="I74" i="2"/>
  <c r="P9" i="2"/>
  <c r="X24" i="1" l="1"/>
  <c r="V28" i="1"/>
  <c r="T1" i="2"/>
  <c r="Z28" i="1"/>
  <c r="X28" i="1"/>
  <c r="X32" i="1"/>
  <c r="H74" i="2"/>
  <c r="Z27" i="1" s="1"/>
  <c r="V32" i="1"/>
  <c r="Z32" i="1"/>
  <c r="H72" i="2"/>
  <c r="V27" i="1" s="1"/>
  <c r="E75" i="2"/>
  <c r="F75" i="2"/>
  <c r="I75" i="2"/>
  <c r="T75" i="2"/>
  <c r="P75" i="2"/>
  <c r="AB24" i="1" l="1"/>
  <c r="AB25" i="1" s="1"/>
  <c r="F25" i="1" s="1"/>
  <c r="AB32" i="1"/>
  <c r="Z29" i="1"/>
  <c r="Z33" i="1" s="1"/>
  <c r="X26" i="1"/>
  <c r="AB28" i="1"/>
  <c r="V29" i="1"/>
  <c r="V33" i="1" s="1"/>
  <c r="L75" i="2"/>
  <c r="H7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7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 ci-dessous.
- Les travailleurs avec un contrat de travail de durée déterminée sans possibilité de résiliation contractuelle
- Les apprentis
Les personnes n’ayant pas droit à l’indemnité ne doivent pas être mentionnées dans le formulaire.
Voir ci-dessous.</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10"/>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ont régulièrement droit à l’indemnité en cas de RHT.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10"/>
            <color indexed="81"/>
            <rFont val="Segoe UI"/>
            <family val="2"/>
          </rPr>
          <t>Du 20.12.2021 au 31.03.2022</t>
        </r>
        <r>
          <rPr>
            <sz val="10"/>
            <color indexed="81"/>
            <rFont val="Segoe UI"/>
            <family val="2"/>
          </rPr>
          <t xml:space="preserve">, les groupes cibles suivants ont à nouveau droit à l’indemnité en cas de RH, si l’entreprise est soumise à l’obligation des </t>
        </r>
        <r>
          <rPr>
            <b/>
            <sz val="10"/>
            <color indexed="81"/>
            <rFont val="Segoe UI"/>
            <family val="2"/>
          </rPr>
          <t>2G+</t>
        </r>
        <r>
          <rPr>
            <sz val="10"/>
            <color indexed="81"/>
            <rFont val="Segoe UI"/>
            <family val="2"/>
          </rPr>
          <t>: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Dans le décompte, ces groupes de personnes peuvent être saisis de la manière suivante : les salaires et les heures à effectuer normalement sont à saisir pour tout le mois. Les heures perdues, en revanche, peuvent être déclarées et décomptées uniquement pour la période à partir du 20.12.2021.</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
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Les personnes n’ayant pas droit à l’indemnité ne doivent pas être mentionnées dans le formulaire.
Voir l'onglet "Demande-Décompte".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L'onglet "Demande-Décompte".</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<sst xmlns="http://schemas.openxmlformats.org/spreadsheetml/2006/main" count="191" uniqueCount="147">
  <si>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</si>
  <si>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</si>
  <si>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</si>
  <si>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</si>
  <si>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</si>
  <si>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</si>
  <si>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</si>
  <si>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</si>
  <si>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</si>
  <si>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</si>
  <si>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</si>
  <si>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</si>
  <si>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</si>
  <si>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</si>
  <si>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</si>
  <si>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</si>
  <si>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</si>
  <si>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</si>
  <si>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</si>
  <si>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</si>
  <si>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</si>
  <si>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</si>
  <si>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</si>
  <si>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</si>
  <si>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</si>
  <si>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</si>
  <si>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</si>
  <si>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</si>
  <si>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</si>
  <si>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</si>
  <si>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</si>
  <si>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</si>
  <si>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</si>
  <si>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</si>
  <si>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</si>
  <si>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</si>
  <si>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</si>
  <si>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</si>
  <si>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</si>
  <si>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</si>
  <si>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</si>
  <si>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</si>
  <si>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</si>
  <si>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</si>
  <si>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</si>
  <si>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</si>
  <si>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</si>
  <si>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</si>
  <si>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</si>
  <si>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</si>
  <si>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</si>
  <si>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</si>
  <si>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</si>
  <si>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</si>
  <si>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</si>
  <si>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</si>
  <si>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</si>
  <si>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</si>
  <si>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</si>
  <si>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</si>
  <si>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</si>
  <si>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</si>
  <si>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</si>
  <si>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</si>
  <si>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</si>
  <si>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</si>
  <si>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</si>
  <si>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</si>
  <si>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</si>
  <si>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</si>
  <si>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</si>
  <si>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</si>
  <si>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</si>
  <si>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</si>
  <si>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</si>
  <si>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</si>
  <si>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</si>
  <si>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</si>
  <si>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</si>
  <si>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</si>
  <si>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</si>
  <si>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</si>
  <si>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</si>
  <si>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</si>
  <si>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</si>
  <si>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</si>
  <si>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</si>
  <si>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</si>
  <si>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</si>
  <si>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</si>
  <si>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</si>
  <si>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</si>
  <si>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</si>
  <si>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</si>
  <si>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</si>
  <si>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</si>
  <si>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</si>
  <si>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</si>
  <si>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</si>
  <si>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</si>
  <si>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</si>
  <si>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</si>
  <si>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</si>
  <si>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</si>
  <si>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</si>
  <si>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</si>
  <si>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</si>
  <si>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</si>
  <si>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</si>
  <si>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</si>
  <si>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</si>
  <si>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</si>
  <si>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</si>
  <si>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</si>
  <si>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</si>
  <si>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</si>
  <si>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</si>
  <si>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</si>
  <si>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</si>
  <si>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</si>
  <si>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</si>
  <si>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</si>
  <si>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</si>
  <si>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</si>
  <si>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</si>
  <si>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</si>
  <si>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</si>
  <si>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</si>
  <si>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</si>
  <si>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r>
      <t xml:space="preserve">Pour les </t>
    </r>
    <r>
      <rPr>
        <u/>
        <sz val="11"/>
        <color theme="1"/>
        <rFont val="Arial"/>
        <family val="2"/>
      </rPr>
      <t>travailleurs sur appel</t>
    </r>
    <r>
      <rPr>
        <sz val="11"/>
        <color theme="1"/>
        <rFont val="Arial"/>
        <family val="2"/>
      </rPr>
      <t>, le salaire et le taux d’occupation contractuels se calculent sur la base du gain moyen et du nombre d’heures travaillées en moyenne pendant les six ou douze mois</t>
    </r>
    <r>
      <rPr>
        <b/>
        <sz val="11"/>
        <color theme="1"/>
        <rFont val="Arial"/>
        <family val="2"/>
      </rPr>
      <t xml:space="preserve"> </t>
    </r>
    <r>
      <rPr>
        <sz val="11"/>
        <color theme="1"/>
        <rFont val="Arial"/>
        <family val="2"/>
      </rPr>
      <t xml:space="preserve">(ou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réduction de l’horaire de travail pour la personne concernée demeurent en principe inchangées pendant les mois de réduction de l’horaire de travail. 
</t>
    </r>
  </si>
  <si>
    <t>Apprentis</t>
  </si>
  <si>
    <t>RT divers</t>
  </si>
  <si>
    <t>RT sur appel</t>
  </si>
  <si>
    <t>RT ayants droit ordinaires</t>
  </si>
  <si>
    <t>CDD sans poss. de résiliation conv.</t>
  </si>
  <si>
    <t>Formateurs</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</si>
  <si>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</si>
  <si>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r>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(jusqu’au 19.12.2021 cela s’applique globalement, et à partir </t>
    </r>
    <r>
      <rPr>
        <b/>
        <sz val="10"/>
        <rFont val="Arial"/>
        <family val="2"/>
      </rPr>
      <t>du 20.12.2021</t>
    </r>
    <r>
      <rPr>
        <sz val="10"/>
        <rFont val="Arial"/>
        <family val="2"/>
      </rPr>
      <t xml:space="preserve"> uniquement pour les entreprises qui ne sont pas soumises à l’obligation des</t>
    </r>
    <r>
      <rPr>
        <b/>
        <sz val="10"/>
        <rFont val="Arial"/>
        <family val="2"/>
      </rPr>
      <t xml:space="preserve"> 2G+ </t>
    </r>
    <r>
      <rPr>
        <sz val="10"/>
        <rFont val="Arial"/>
        <family val="2"/>
      </rPr>
      <t xml:space="preserve">– voir plus bas) ;
- Les travailleurs sur appel avec un contrat de durée déterminée et/ou dont le taux d’occupation est soumis à de fluctuations marquantes (jusqu’au 19.12.2021 cela s’applique globalement, et à partir </t>
    </r>
    <r>
      <rPr>
        <b/>
        <sz val="10"/>
        <rFont val="Arial"/>
        <family val="2"/>
      </rPr>
      <t>du 20.12.2021</t>
    </r>
    <r>
      <rPr>
        <sz val="10"/>
        <rFont val="Arial"/>
        <family val="2"/>
      </rPr>
      <t xml:space="preserve"> uniquement pour les entreprises qui ne sont pas soumises à l’obligation des </t>
    </r>
    <r>
      <rPr>
        <b/>
        <sz val="10"/>
        <rFont val="Arial"/>
        <family val="2"/>
      </rPr>
      <t>2G+</t>
    </r>
    <r>
      <rPr>
        <sz val="10"/>
        <rFont val="Arial"/>
        <family val="2"/>
      </rPr>
      <t xml:space="preserve">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t>
    </r>
  </si>
  <si>
    <r>
      <rPr>
        <b/>
        <sz val="10"/>
        <rFont val="Arial"/>
        <family val="2"/>
      </rPr>
      <t>Du 20.12.2021 au 31.03.2022, une entreprise soumise à l’obligation des 2G+ peut demander la RHT pour les personnes suivantes</t>
    </r>
    <r>
      <rPr>
        <sz val="10"/>
        <rFont val="Arial"/>
        <family val="2"/>
      </rPr>
      <t xml:space="preserve">
</t>
    </r>
    <r>
      <rPr>
        <u/>
        <sz val="10"/>
        <rFont val="Arial"/>
        <family val="2"/>
      </rPr>
      <t>- Les apprentis</t>
    </r>
    <r>
      <rPr>
        <sz val="10"/>
        <rFont val="Arial"/>
        <family val="2"/>
      </rPr>
      <t xml:space="preserve">
</t>
    </r>
    <r>
      <rPr>
        <u/>
        <sz val="10"/>
        <rFont val="Arial"/>
        <family val="2"/>
      </rPr>
      <t>- Les travailleurs qui ont un emploi d’une durée déterminée sans possibilité de résiliation convenue,</t>
    </r>
    <r>
      <rPr>
        <sz val="10"/>
        <rFont val="Arial"/>
        <family val="2"/>
      </rPr>
      <t xml:space="preserve"> avec un taux d’occupation fixe
</t>
    </r>
    <r>
      <rPr>
        <u/>
        <sz val="10"/>
        <rFont val="Arial"/>
        <family val="2"/>
      </rPr>
      <t>- Les travailleurs sur appel dont le taux d’occupation est soumis à de fluctuations marquantes,</t>
    </r>
    <r>
      <rPr>
        <sz val="10"/>
        <rFont val="Arial"/>
        <family val="2"/>
      </rPr>
      <t xml:space="preserve"> s’ils sont engagés pour une durée indéterminée et qu’ils travaillent dans l’entreprise depuis au moins six mois</t>
    </r>
  </si>
  <si>
    <r>
      <rPr>
        <b/>
        <sz val="10"/>
        <rFont val="Arial"/>
        <family val="2"/>
      </rPr>
      <t>Les personnes suivantes ont en principe droit à l’indemnité en cas de RHT</t>
    </r>
    <r>
      <rPr>
        <sz val="10"/>
        <rFont val="Arial"/>
        <family val="2"/>
      </rPr>
      <t xml:space="preserve">
</t>
    </r>
    <r>
      <rPr>
        <u/>
        <sz val="10"/>
        <rFont val="Arial"/>
        <family val="2"/>
      </rPr>
      <t>- Les travailleurs qui ont un emploi d’une durée déterminée avec possibilité de résiliation convenue par écrit</t>
    </r>
    <r>
      <rPr>
        <sz val="10"/>
        <rFont val="Arial"/>
        <family val="2"/>
      </rPr>
      <t xml:space="preserve"> et un taux d’occupation fixe
</t>
    </r>
    <r>
      <rPr>
        <u/>
        <sz val="10"/>
        <rFont val="Arial"/>
        <family val="2"/>
      </rPr>
      <t>- Les personnes travaillant sur appel dont le taux d’occupation présente de fluctuations faibles</t>
    </r>
    <r>
      <rPr>
        <sz val="10"/>
        <rFont val="Arial"/>
        <family val="2"/>
      </rPr>
      <t>, un droit à l’indemnité en cas de RHT peut être revendiqué de manière ininterrompue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</si>
  <si>
    <r>
      <t>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t>
    </r>
    <r>
      <rPr>
        <b/>
        <sz val="10"/>
        <rFont val="Arial"/>
        <family val="2"/>
      </rPr>
      <t xml:space="preserve">
</t>
    </r>
  </si>
  <si>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</si>
  <si>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</si>
  <si>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 formulaire "Rapport concernant les heures perdues pour raisons d'ordre économique</t>
  </si>
  <si>
    <r>
      <t xml:space="preserve">Valable pour la période de décompte </t>
    </r>
    <r>
      <rPr>
        <b/>
        <sz val="11"/>
        <rFont val="Arial"/>
        <family val="2"/>
      </rPr>
      <t>décembre 2021</t>
    </r>
    <r>
      <rPr>
        <sz val="11"/>
        <rFont val="Arial"/>
        <family val="2"/>
      </rPr>
      <t xml:space="preserve">,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
</t>
    </r>
    <r>
      <rPr>
        <b/>
        <sz val="11"/>
        <rFont val="Arial"/>
        <family val="2"/>
      </rPr>
      <t>- Y inclus les groupes cibles supplémentaires pour les entreprises qui sont
soumises à l’obligation des 2G+ à partir du 20.12.2021.</t>
    </r>
  </si>
  <si>
    <r>
      <rPr>
        <b/>
        <sz val="10"/>
        <rFont val="Arial"/>
        <family val="2"/>
      </rPr>
      <t>Groupes de droits supplémentaires applicables à partir du 20.12.2021 (v. ligne 44)</t>
    </r>
    <r>
      <rPr>
        <sz val="10"/>
        <rFont val="Arial"/>
        <family val="2"/>
      </rPr>
      <t xml:space="preserve">
Dans le décompte, ces groupes de personnes peuvent être saisis de la manière suivante: les salaires et les heures à effectuer normalement sont à saisir pour tout le mois. Les heures perdues, en revanche, peuvent être déclarées et décomptées uniquement pour la période à partir du 20.12.2021.
Par sa signature, l’employeur confirme qu’il fait valoir des pertes de travail pour les nouveaux groupes d’ayants droit seulement à partir du </t>
    </r>
    <r>
      <rPr>
        <b/>
        <sz val="10"/>
        <rFont val="Arial"/>
        <family val="2"/>
      </rPr>
      <t>20.12.2021</t>
    </r>
    <r>
      <rPr>
        <sz val="10"/>
        <rFont val="Arial"/>
        <family val="2"/>
      </rPr>
      <t>, et uniquement s’il est soumis à l’</t>
    </r>
    <r>
      <rPr>
        <b/>
        <sz val="10"/>
        <rFont val="Arial"/>
        <family val="2"/>
      </rPr>
      <t>obligation des 2G+</t>
    </r>
    <r>
      <rPr>
        <sz val="10"/>
        <rFont val="Arial"/>
        <family val="2"/>
      </rPr>
      <t xml:space="preserve">. </t>
    </r>
  </si>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</sst>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3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
      <sz val="10"/>
      <color indexed="81"/>
      <name val="Segoe UI"/>
      <family val="2"/>
    </font>
    <font>
      <b/>
      <sz val="10"/>
      <color indexed="81"/>
      <name val="Segoe U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quotePrefix="1" applyFont="1"/>
    <xf numFmtId="0" fontId="10" fillId="0" borderId="0" xfId="0" applyFont="1" applyFill="1" applyAlignment="1">
      <alignment vertical="top"/>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justify" vertical="top" wrapText="1"/>
    </xf>
    <xf numFmtId="0" fontId="11" fillId="0" borderId="0" xfId="0" applyFont="1" applyAlignment="1">
      <alignment horizontal="justify" vertical="top" wrapText="1"/>
    </xf>
    <xf numFmtId="0" fontId="24" fillId="0" borderId="0" xfId="0" applyFont="1" applyFill="1" applyAlignment="1">
      <alignment horizontal="left" vertical="top"/>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1" fillId="0" borderId="0" xfId="0" applyNumberFormat="1" applyFont="1" applyFill="1" applyAlignment="1">
      <alignment horizontal="left" vertical="top" wrapText="1"/>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5" fillId="0" borderId="13" xfId="0" applyFont="1" applyBorder="1" applyAlignment="1">
      <alignment horizontal="right"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0" fontId="1" fillId="2" borderId="0" xfId="0" applyFont="1" applyFill="1" applyAlignment="1" applyProtection="1">
      <alignment horizontal="left" vertical="top"/>
      <protection locked="0"/>
    </xf>
    <xf numFmtId="0" fontId="1" fillId="0" borderId="0" xfId="0" applyFont="1" applyAlignment="1">
      <alignment horizontal="justify" vertical="top" wrapText="1"/>
    </xf>
    <xf numFmtId="0" fontId="1" fillId="0" borderId="0" xfId="0" applyFont="1" applyAlignment="1">
      <alignment horizontal="justify" vertical="top"/>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8">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16</xdr:col>
      <xdr:colOff>197069</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70"/>
  <sheetViews>
    <sheetView showGridLines="0" tabSelected="1" zoomScale="85" zoomScaleNormal="85" workbookViewId="0">
      <selection activeCell="A5" sqref="A5:C5"/>
    </sheetView>
  </sheetViews>
  <sheetFormatPr baseColWidth="10" defaultRowHeight="14" x14ac:dyDescent="0.3"/>
  <cols>
    <col min="1" max="1" width="20.58203125" customWidth="1"/>
    <col min="2" max="2" width="18.58203125" customWidth="1"/>
    <col min="3" max="3" width="19.75" customWidth="1"/>
    <col min="4" max="4" width="25.58203125" customWidth="1"/>
    <col min="5" max="5" width="7.58203125" customWidth="1"/>
    <col min="6" max="6" width="17.58203125" customWidth="1"/>
    <col min="7" max="7" width="11.83203125" style="30" hidden="1" customWidth="1"/>
    <col min="8" max="8" width="15.58203125" style="30" hidden="1" customWidth="1"/>
    <col min="9" max="16" width="11.25" hidden="1" customWidth="1"/>
    <col min="17" max="17" width="2.58203125" customWidth="1"/>
    <col min="18" max="18" width="15.25" style="103" customWidth="1"/>
    <col min="19" max="21" width="10.08203125" style="103" customWidth="1"/>
    <col min="22" max="22" width="11.75" style="103" customWidth="1"/>
    <col min="23" max="23" width="2.58203125" style="103" customWidth="1"/>
    <col min="24" max="24" width="11.75" style="103" customWidth="1"/>
    <col min="25" max="25" width="2.58203125" style="103" customWidth="1"/>
    <col min="26" max="26" width="11.75" style="103" customWidth="1"/>
    <col min="27" max="27" width="2.58203125" style="103" customWidth="1"/>
    <col min="28" max="28" width="14.83203125" style="103" customWidth="1"/>
  </cols>
  <sheetData>
    <row r="1" spans="1:28" ht="24.65" customHeight="1" x14ac:dyDescent="0.3">
      <c r="A1" s="272" t="s">
        <v>12</v>
      </c>
      <c r="B1" s="272"/>
      <c r="C1" s="272"/>
      <c r="D1" s="272"/>
      <c r="E1" s="272"/>
      <c r="F1" s="272"/>
      <c r="G1" s="118"/>
      <c r="H1" s="118"/>
      <c r="I1" s="112"/>
      <c r="J1" s="112"/>
      <c r="K1" s="112"/>
      <c r="L1" s="112"/>
      <c r="M1" s="112"/>
      <c r="N1" s="112"/>
      <c r="O1" s="112"/>
      <c r="P1" s="112"/>
    </row>
    <row r="2" spans="1:28" ht="75" customHeight="1" x14ac:dyDescent="0.3">
      <c r="A2" s="288" t="s">
        <v>144</v>
      </c>
      <c r="B2" s="288"/>
      <c r="C2" s="288"/>
      <c r="D2" s="288"/>
      <c r="E2" s="288"/>
      <c r="F2" s="51"/>
      <c r="G2" s="4"/>
      <c r="H2" s="4"/>
      <c r="I2" s="4"/>
      <c r="J2" s="5"/>
    </row>
    <row r="3" spans="1:28" ht="18" customHeight="1" x14ac:dyDescent="0.3">
      <c r="A3" s="287" t="s">
        <v>13</v>
      </c>
      <c r="B3" s="287"/>
      <c r="C3" s="287"/>
      <c r="D3" s="287"/>
      <c r="E3" s="287"/>
      <c r="F3" s="287"/>
      <c r="G3" s="4"/>
      <c r="H3" s="4"/>
      <c r="I3" s="4"/>
      <c r="J3" s="5"/>
    </row>
    <row r="4" spans="1:28" s="6" customFormat="1" ht="18.75" customHeight="1" x14ac:dyDescent="0.3">
      <c r="A4" s="17" t="s">
        <v>14</v>
      </c>
      <c r="B4" s="159"/>
      <c r="C4" s="159"/>
      <c r="D4" s="32" t="s">
        <v>15</v>
      </c>
      <c r="E4" s="159"/>
      <c r="F4" s="18"/>
      <c r="G4" s="3"/>
      <c r="H4" s="3"/>
      <c r="R4" s="124" t="str">
        <f>+A4</f>
        <v>Entreprise</v>
      </c>
      <c r="S4" s="125"/>
      <c r="T4" s="125"/>
      <c r="U4" s="126"/>
      <c r="V4" s="298" t="str">
        <f>+D4</f>
        <v>Caisse de chômage</v>
      </c>
      <c r="W4" s="299"/>
      <c r="X4" s="299"/>
      <c r="Y4" s="299"/>
      <c r="Z4" s="299"/>
      <c r="AA4" s="299"/>
      <c r="AB4" s="300"/>
    </row>
    <row r="5" spans="1:28" s="6" customFormat="1" ht="18.75" customHeight="1" x14ac:dyDescent="0.3">
      <c r="A5" s="280"/>
      <c r="B5" s="281"/>
      <c r="C5" s="281"/>
      <c r="D5" s="274"/>
      <c r="E5" s="275"/>
      <c r="F5" s="276"/>
      <c r="G5" s="3"/>
      <c r="H5" s="3"/>
      <c r="R5" s="317" t="str">
        <f>IF(ISBLANK(A5),"",A5)</f>
        <v/>
      </c>
      <c r="S5" s="318"/>
      <c r="T5" s="318"/>
      <c r="U5" s="319"/>
      <c r="V5" s="301" t="str">
        <f>IF(ISBLANK(D5),"",D5)</f>
        <v/>
      </c>
      <c r="W5" s="302"/>
      <c r="X5" s="302"/>
      <c r="Y5" s="302"/>
      <c r="Z5" s="302"/>
      <c r="AA5" s="302"/>
      <c r="AB5" s="303"/>
    </row>
    <row r="6" spans="1:28" s="6" customFormat="1" ht="18.75" customHeight="1" x14ac:dyDescent="0.3">
      <c r="A6" s="280"/>
      <c r="B6" s="281"/>
      <c r="C6" s="281"/>
      <c r="D6" s="277"/>
      <c r="E6" s="278"/>
      <c r="F6" s="279"/>
      <c r="G6" s="3"/>
      <c r="H6" s="3"/>
      <c r="R6" s="317" t="str">
        <f>IF(ISBLANK(A6),"",A6)</f>
        <v/>
      </c>
      <c r="S6" s="318"/>
      <c r="T6" s="318"/>
      <c r="U6" s="319"/>
      <c r="V6" s="304" t="str">
        <f>IF(ISBLANK(D6),"",D6)</f>
        <v/>
      </c>
      <c r="W6" s="305"/>
      <c r="X6" s="305"/>
      <c r="Y6" s="305"/>
      <c r="Z6" s="305"/>
      <c r="AA6" s="305"/>
      <c r="AB6" s="306"/>
    </row>
    <row r="7" spans="1:28" s="6" customFormat="1" ht="18.75" customHeight="1" x14ac:dyDescent="0.3">
      <c r="A7" s="280"/>
      <c r="B7" s="281"/>
      <c r="C7" s="281"/>
      <c r="D7" s="277"/>
      <c r="E7" s="278"/>
      <c r="F7" s="279"/>
      <c r="G7" s="3"/>
      <c r="H7" s="3"/>
      <c r="R7" s="317" t="str">
        <f>IF(ISBLANK(A7),"",A7)</f>
        <v/>
      </c>
      <c r="S7" s="318"/>
      <c r="T7" s="318"/>
      <c r="U7" s="319"/>
      <c r="V7" s="304" t="str">
        <f>IF(ISBLANK(D7),"",D7)</f>
        <v/>
      </c>
      <c r="W7" s="305"/>
      <c r="X7" s="305"/>
      <c r="Y7" s="305"/>
      <c r="Z7" s="305"/>
      <c r="AA7" s="305"/>
      <c r="AB7" s="306"/>
    </row>
    <row r="8" spans="1:28" s="6" customFormat="1" ht="18.75" customHeight="1" x14ac:dyDescent="0.3">
      <c r="A8" s="280"/>
      <c r="B8" s="281"/>
      <c r="C8" s="281"/>
      <c r="D8" s="284"/>
      <c r="E8" s="285"/>
      <c r="F8" s="286"/>
      <c r="G8" s="3"/>
      <c r="H8" s="59" t="s">
        <v>4</v>
      </c>
      <c r="I8" s="6" t="s">
        <v>11</v>
      </c>
      <c r="R8" s="317" t="str">
        <f>IF(ISBLANK(A8),"",A8)</f>
        <v/>
      </c>
      <c r="S8" s="318"/>
      <c r="T8" s="318"/>
      <c r="U8" s="319"/>
      <c r="V8" s="320" t="str">
        <f>IF(ISBLANK(D8),"",D8)</f>
        <v/>
      </c>
      <c r="W8" s="310"/>
      <c r="X8" s="310"/>
      <c r="Y8" s="310"/>
      <c r="Z8" s="310"/>
      <c r="AA8" s="310"/>
      <c r="AB8" s="311"/>
    </row>
    <row r="9" spans="1:28" s="6" customFormat="1" ht="18.75" customHeight="1" x14ac:dyDescent="0.3">
      <c r="A9" s="21" t="s">
        <v>16</v>
      </c>
      <c r="B9" s="282"/>
      <c r="C9" s="283"/>
      <c r="D9" s="33"/>
      <c r="E9" s="19"/>
      <c r="F9" s="20"/>
      <c r="G9" s="3"/>
      <c r="H9" s="61">
        <v>44470</v>
      </c>
      <c r="I9" s="101">
        <v>6.4000000000000001E-2</v>
      </c>
      <c r="R9" s="127" t="str">
        <f>+A9</f>
        <v>Secteur d'exploitation</v>
      </c>
      <c r="S9" s="310" t="str">
        <f>IF(ISBLANK(B9),"",B9)</f>
        <v/>
      </c>
      <c r="T9" s="310"/>
      <c r="U9" s="311"/>
      <c r="V9" s="128"/>
      <c r="W9" s="129"/>
      <c r="X9" s="129"/>
      <c r="Y9" s="120"/>
      <c r="Z9" s="120"/>
      <c r="AA9" s="120"/>
      <c r="AB9" s="119"/>
    </row>
    <row r="10" spans="1:28" s="6" customFormat="1" ht="18.75" customHeight="1" x14ac:dyDescent="0.3">
      <c r="A10" s="22" t="s">
        <v>17</v>
      </c>
      <c r="B10" s="257"/>
      <c r="C10" s="258"/>
      <c r="D10" s="173"/>
      <c r="E10" s="24"/>
      <c r="F10" s="25"/>
      <c r="G10" s="3"/>
      <c r="H10" s="61">
        <v>44501</v>
      </c>
      <c r="I10" s="101">
        <v>6.4000000000000001E-2</v>
      </c>
      <c r="R10" s="138" t="str">
        <f>+A10</f>
        <v>REE + Sct. No.</v>
      </c>
      <c r="S10" s="308" t="str">
        <f>IF(ISBLANK(B10),"",B10)</f>
        <v/>
      </c>
      <c r="T10" s="308"/>
      <c r="U10" s="309"/>
      <c r="V10" s="139"/>
      <c r="W10" s="140"/>
      <c r="X10" s="140"/>
      <c r="Y10" s="141"/>
      <c r="Z10" s="141"/>
      <c r="AA10" s="141"/>
      <c r="AB10" s="142"/>
    </row>
    <row r="11" spans="1:28" s="6" customFormat="1" ht="18.75" customHeight="1" x14ac:dyDescent="0.3">
      <c r="A11" s="21" t="s">
        <v>18</v>
      </c>
      <c r="B11" s="257"/>
      <c r="C11" s="258"/>
      <c r="D11" s="173"/>
      <c r="E11" s="24"/>
      <c r="F11" s="25"/>
      <c r="G11" s="3"/>
      <c r="H11" s="61">
        <v>44531</v>
      </c>
      <c r="I11" s="101">
        <v>6.4000000000000001E-2</v>
      </c>
      <c r="R11" s="127"/>
      <c r="S11" s="310" t="str">
        <f>IF(ISBLANK(B11),"",B11)</f>
        <v/>
      </c>
      <c r="T11" s="310"/>
      <c r="U11" s="311"/>
      <c r="V11" s="130"/>
      <c r="W11" s="131"/>
      <c r="X11" s="131"/>
      <c r="Y11" s="120"/>
      <c r="Z11" s="120"/>
      <c r="AA11" s="120"/>
      <c r="AB11" s="119"/>
    </row>
    <row r="12" spans="1:28" s="6" customFormat="1" ht="18.75" customHeight="1" x14ac:dyDescent="0.3">
      <c r="A12" s="21" t="s">
        <v>19</v>
      </c>
      <c r="B12" s="257"/>
      <c r="C12" s="258"/>
      <c r="D12" s="173"/>
      <c r="E12" s="24"/>
      <c r="F12" s="25"/>
      <c r="G12" s="3"/>
      <c r="H12" s="228"/>
      <c r="I12" s="229"/>
      <c r="R12" s="312" t="s">
        <v>57</v>
      </c>
      <c r="S12" s="313"/>
      <c r="T12" s="313"/>
      <c r="U12" s="313"/>
      <c r="V12" s="313"/>
      <c r="W12" s="313"/>
      <c r="X12" s="313"/>
      <c r="Y12" s="313"/>
      <c r="Z12" s="313"/>
      <c r="AA12" s="313"/>
      <c r="AB12" s="314"/>
    </row>
    <row r="13" spans="1:28" s="6" customFormat="1" ht="18.75" customHeight="1" x14ac:dyDescent="0.3">
      <c r="A13" s="21" t="s">
        <v>2</v>
      </c>
      <c r="B13" s="257"/>
      <c r="C13" s="258"/>
      <c r="D13" s="173"/>
      <c r="E13" s="24"/>
      <c r="F13" s="25"/>
      <c r="G13" s="3"/>
      <c r="H13" s="228"/>
      <c r="I13" s="229"/>
      <c r="R13" s="312"/>
      <c r="S13" s="313"/>
      <c r="T13" s="313"/>
      <c r="U13" s="313"/>
      <c r="V13" s="313"/>
      <c r="W13" s="313"/>
      <c r="X13" s="313"/>
      <c r="Y13" s="313"/>
      <c r="Z13" s="313"/>
      <c r="AA13" s="313"/>
      <c r="AB13" s="314"/>
    </row>
    <row r="14" spans="1:28" s="6" customFormat="1" ht="18.75" customHeight="1" x14ac:dyDescent="0.3">
      <c r="A14" s="21" t="s">
        <v>20</v>
      </c>
      <c r="B14" s="19"/>
      <c r="C14" s="24"/>
      <c r="D14" s="173"/>
      <c r="E14" s="24"/>
      <c r="F14" s="25"/>
      <c r="G14" s="3"/>
      <c r="H14" s="228"/>
      <c r="I14" s="229"/>
      <c r="R14" s="312"/>
      <c r="S14" s="313"/>
      <c r="T14" s="313"/>
      <c r="U14" s="313"/>
      <c r="V14" s="313"/>
      <c r="W14" s="313"/>
      <c r="X14" s="313"/>
      <c r="Y14" s="313"/>
      <c r="Z14" s="313"/>
      <c r="AA14" s="313"/>
      <c r="AB14" s="314"/>
    </row>
    <row r="15" spans="1:28" s="6" customFormat="1" ht="21.75" customHeight="1" x14ac:dyDescent="0.3">
      <c r="A15" s="262"/>
      <c r="B15" s="263"/>
      <c r="C15" s="263"/>
      <c r="D15" s="263"/>
      <c r="E15" s="263"/>
      <c r="F15" s="264"/>
      <c r="G15" s="3"/>
      <c r="H15" s="228"/>
      <c r="I15" s="229"/>
      <c r="R15" s="289"/>
      <c r="S15" s="290"/>
      <c r="T15" s="290"/>
      <c r="U15" s="290"/>
      <c r="V15" s="290"/>
      <c r="W15" s="290"/>
      <c r="X15" s="290"/>
      <c r="Y15" s="290"/>
      <c r="Z15" s="290"/>
      <c r="AA15" s="290"/>
      <c r="AB15" s="291"/>
    </row>
    <row r="16" spans="1:28" s="26" customFormat="1" ht="30" customHeight="1" x14ac:dyDescent="0.3">
      <c r="A16" s="52" t="s">
        <v>21</v>
      </c>
      <c r="B16" s="53"/>
      <c r="C16" s="60">
        <v>44531</v>
      </c>
      <c r="D16" s="260" t="s">
        <v>22</v>
      </c>
      <c r="E16" s="260"/>
      <c r="F16" s="261"/>
      <c r="G16" s="48">
        <f>IF(C16="","",NETWORKDAYS(C16,EOMONTH(C16,0)))</f>
        <v>23</v>
      </c>
      <c r="H16" s="49"/>
      <c r="J16" s="55" t="s">
        <v>3</v>
      </c>
      <c r="R16" s="315" t="str">
        <f>+A16</f>
        <v>Période de décompte (mois)</v>
      </c>
      <c r="S16" s="316"/>
      <c r="T16" s="316"/>
      <c r="U16" s="307">
        <f>IF(ISBLANK(C16),"",+C16)</f>
        <v>44531</v>
      </c>
      <c r="V16" s="307"/>
      <c r="W16" s="121"/>
      <c r="X16" s="121"/>
      <c r="Y16" s="121"/>
      <c r="Z16" s="121"/>
      <c r="AA16" s="121"/>
      <c r="AB16" s="121"/>
    </row>
    <row r="17" spans="1:28" s="6" customFormat="1" x14ac:dyDescent="0.3">
      <c r="A17" s="273" t="str">
        <f>IF(OR(I17=I18,I17="",I18=""),"",J17)</f>
        <v/>
      </c>
      <c r="B17" s="273"/>
      <c r="C17" s="273"/>
      <c r="D17" s="273"/>
      <c r="E17" s="273"/>
      <c r="F17" s="273"/>
      <c r="G17" s="3"/>
      <c r="H17" s="3"/>
      <c r="I17" s="57" t="str">
        <f>IF(C16="","",TEXT(C16,"MM"))</f>
        <v>12</v>
      </c>
      <c r="J17" s="56" t="s">
        <v>43</v>
      </c>
      <c r="R17" s="104"/>
      <c r="S17" s="104"/>
      <c r="T17" s="104"/>
      <c r="U17" s="123"/>
      <c r="V17" s="104"/>
      <c r="W17" s="104"/>
      <c r="X17" s="104"/>
      <c r="Y17" s="104"/>
      <c r="Z17" s="104"/>
      <c r="AA17" s="104"/>
      <c r="AB17" s="104"/>
    </row>
    <row r="18" spans="1:28" ht="36.65" customHeight="1" x14ac:dyDescent="0.3">
      <c r="A18" s="265" t="s">
        <v>103</v>
      </c>
      <c r="B18" s="266"/>
      <c r="C18" s="266"/>
      <c r="D18" s="266"/>
      <c r="E18" s="266"/>
      <c r="F18" s="267"/>
      <c r="I18" s="46" t="str">
        <f>IF(C19="","",TEXT(C19,"MM"))</f>
        <v/>
      </c>
      <c r="L18" s="200"/>
      <c r="R18" s="297" t="s">
        <v>96</v>
      </c>
      <c r="S18" s="297"/>
      <c r="T18" s="297"/>
      <c r="U18" s="297"/>
      <c r="V18" s="297"/>
      <c r="W18" s="297"/>
      <c r="X18" s="297"/>
      <c r="Y18" s="297"/>
      <c r="Z18" s="297"/>
      <c r="AA18" s="297"/>
      <c r="AB18" s="297"/>
    </row>
    <row r="19" spans="1:28" ht="22.9" customHeight="1" x14ac:dyDescent="0.3">
      <c r="A19" s="40"/>
      <c r="B19" s="39" t="s">
        <v>23</v>
      </c>
      <c r="C19" s="45"/>
      <c r="D19" s="39" t="s">
        <v>24</v>
      </c>
      <c r="E19" s="270"/>
      <c r="F19" s="271"/>
      <c r="G19" s="58">
        <f>IF(AND(C19&gt;0,E19&gt;0),NETWORKDAYS(C19,E19),G16)</f>
        <v>23</v>
      </c>
      <c r="I19" s="46" t="str">
        <f>IF(E19="","",TEXT(E19,"MM"))</f>
        <v/>
      </c>
      <c r="R19" s="297"/>
      <c r="S19" s="297"/>
      <c r="T19" s="297"/>
      <c r="U19" s="297"/>
      <c r="V19" s="297"/>
      <c r="W19" s="297"/>
      <c r="X19" s="297"/>
      <c r="Y19" s="297"/>
      <c r="Z19" s="297"/>
      <c r="AA19" s="297"/>
      <c r="AB19" s="297"/>
    </row>
    <row r="20" spans="1:28" ht="19.149999999999999" customHeight="1" x14ac:dyDescent="0.3">
      <c r="A20" s="41"/>
      <c r="B20" s="42"/>
      <c r="C20" s="43"/>
      <c r="D20" s="42"/>
      <c r="E20" s="47"/>
      <c r="F20" s="44">
        <f>IF(I18=I19,G19,J20)</f>
        <v>23</v>
      </c>
      <c r="G20" s="54"/>
      <c r="J20" s="176" t="s">
        <v>44</v>
      </c>
      <c r="R20" s="297"/>
      <c r="S20" s="297"/>
      <c r="T20" s="297"/>
      <c r="U20" s="297"/>
      <c r="V20" s="297"/>
      <c r="W20" s="297"/>
      <c r="X20" s="297"/>
      <c r="Y20" s="297"/>
      <c r="Z20" s="297"/>
      <c r="AA20" s="297"/>
      <c r="AB20" s="297"/>
    </row>
    <row r="21" spans="1:28" ht="17.5" customHeight="1" x14ac:dyDescent="0.3">
      <c r="A21" s="292" t="s">
        <v>84</v>
      </c>
      <c r="B21" s="292"/>
      <c r="C21" s="292"/>
      <c r="D21" s="292"/>
      <c r="E21" s="292"/>
      <c r="F21" s="292"/>
      <c r="G21" s="54"/>
      <c r="R21" s="143"/>
      <c r="S21" s="143"/>
      <c r="T21" s="143"/>
      <c r="U21" s="143"/>
      <c r="V21" s="295" t="s">
        <v>58</v>
      </c>
      <c r="W21" s="295"/>
      <c r="X21" s="295"/>
      <c r="Y21" s="295"/>
      <c r="Z21" s="295"/>
      <c r="AA21" s="143"/>
      <c r="AB21" s="143"/>
    </row>
    <row r="22" spans="1:28" ht="24" customHeight="1" x14ac:dyDescent="0.3">
      <c r="A22" s="293"/>
      <c r="B22" s="293"/>
      <c r="C22" s="293"/>
      <c r="D22" s="293"/>
      <c r="E22" s="293"/>
      <c r="F22" s="293"/>
      <c r="G22" s="3"/>
      <c r="V22" s="295"/>
      <c r="W22" s="295"/>
      <c r="X22" s="295"/>
      <c r="Y22" s="295"/>
      <c r="Z22" s="295"/>
    </row>
    <row r="23" spans="1:28" ht="28" x14ac:dyDescent="0.3">
      <c r="A23" s="241" t="s">
        <v>25</v>
      </c>
      <c r="B23" s="241"/>
      <c r="C23" s="241"/>
      <c r="D23" s="241"/>
      <c r="E23" s="2"/>
      <c r="F23" s="13"/>
      <c r="G23" s="3"/>
      <c r="R23" s="252" t="str">
        <f>+A23</f>
        <v>Pertes de travail pour raisons économiques</v>
      </c>
      <c r="S23" s="252"/>
      <c r="T23" s="252"/>
      <c r="U23" s="252"/>
      <c r="V23" s="105" t="s">
        <v>7</v>
      </c>
      <c r="W23" s="106"/>
      <c r="X23" s="105" t="s">
        <v>94</v>
      </c>
      <c r="Y23" s="106"/>
      <c r="Z23" s="105" t="s">
        <v>8</v>
      </c>
      <c r="AB23" s="107" t="s">
        <v>59</v>
      </c>
    </row>
    <row r="24" spans="1:28" ht="25.5" customHeight="1" x14ac:dyDescent="0.3">
      <c r="A24" s="269" t="s">
        <v>26</v>
      </c>
      <c r="B24" s="269"/>
      <c r="C24" s="29"/>
      <c r="D24" s="29"/>
      <c r="E24" s="23"/>
      <c r="F24" s="132">
        <f>+AB24</f>
        <v>0</v>
      </c>
      <c r="G24" s="3"/>
      <c r="P24">
        <f>COLUMN('Attribution aux cat. de salaire'!$E$71)</f>
        <v>5</v>
      </c>
      <c r="R24" s="254" t="str">
        <f>+A24</f>
        <v>Nombre de travailleurs ayants droit</v>
      </c>
      <c r="S24" s="254"/>
      <c r="T24" s="254"/>
      <c r="U24" s="255"/>
      <c r="V24" s="132">
        <f>VLOOKUP(V$23,'Attribution aux cat. de salaire'!$A$72:$M$74,$P24,FALSE)</f>
        <v>0</v>
      </c>
      <c r="W24" s="108"/>
      <c r="X24" s="132">
        <f>VLOOKUP(X$23,'Attribution aux cat. de salaire'!$A$72:$M$74,$P24,FALSE)</f>
        <v>0</v>
      </c>
      <c r="Y24" s="108"/>
      <c r="Z24" s="132">
        <f>VLOOKUP(Z$23,'Attribution aux cat. de salaire'!$A$72:$M$74,$P24,FALSE)</f>
        <v>0</v>
      </c>
      <c r="AA24" s="108"/>
      <c r="AB24" s="132">
        <f>SUM(V24,X24,Z24)</f>
        <v>0</v>
      </c>
    </row>
    <row r="25" spans="1:28" ht="25.5" customHeight="1" x14ac:dyDescent="0.3">
      <c r="A25" s="23" t="s">
        <v>27</v>
      </c>
      <c r="B25" s="23"/>
      <c r="C25" s="29"/>
      <c r="D25" s="174"/>
      <c r="E25" s="175"/>
      <c r="F25" s="190">
        <f>+AB25</f>
        <v>0</v>
      </c>
      <c r="G25" s="3"/>
      <c r="I25" s="176" t="s">
        <v>32</v>
      </c>
      <c r="J25" s="189"/>
      <c r="K25" s="34"/>
      <c r="O25" s="5"/>
      <c r="P25">
        <f>COLUMN('Attribution aux cat. de salaire'!$F$71)</f>
        <v>6</v>
      </c>
      <c r="R25" s="254" t="str">
        <f>+A25</f>
        <v>Nombre de travailleurs concernés par la réduction de l’horaire de travail (RHT)</v>
      </c>
      <c r="S25" s="254"/>
      <c r="T25" s="254"/>
      <c r="U25" s="255"/>
      <c r="V25" s="132">
        <f>VLOOKUP(V$23,'Attribution aux cat. de salaire'!$A$72:$M$74,$P25,FALSE)</f>
        <v>0</v>
      </c>
      <c r="W25" s="108"/>
      <c r="X25" s="132">
        <f>VLOOKUP(X$23,'Attribution aux cat. de salaire'!$A$72:$M$74,$P25,FALSE)</f>
        <v>0</v>
      </c>
      <c r="Y25" s="108"/>
      <c r="Z25" s="132">
        <f>VLOOKUP(Z$23,'Attribution aux cat. de salaire'!$A$72:$M$74,$P25,FALSE)</f>
        <v>0</v>
      </c>
      <c r="AA25" s="108"/>
      <c r="AB25" s="190">
        <f>IF(SUM(V25,X25,Z25)&gt;AB24,I25,SUM(V25,X25,Z25))</f>
        <v>0</v>
      </c>
    </row>
    <row r="26" spans="1:28" ht="25.5" customHeight="1" x14ac:dyDescent="0.3">
      <c r="A26" s="161"/>
      <c r="B26" s="29"/>
      <c r="C26" s="29"/>
      <c r="D26" s="29"/>
      <c r="E26" s="23"/>
      <c r="F26" s="174"/>
      <c r="G26" s="185">
        <f>IF(X26="---",0,+X26/5*F20)</f>
        <v>0</v>
      </c>
      <c r="L26" s="65"/>
      <c r="M26" s="65"/>
      <c r="N26" s="65"/>
      <c r="O26" s="65"/>
      <c r="P26" s="65"/>
      <c r="Q26" s="65"/>
      <c r="R26" s="296" t="s">
        <v>83</v>
      </c>
      <c r="S26" s="296"/>
      <c r="T26" s="296"/>
      <c r="U26" s="296"/>
      <c r="V26" s="108"/>
      <c r="W26" s="108"/>
      <c r="X26" s="218" t="str">
        <f>+'Attribution aux cat. de salaire'!G73</f>
        <v>---</v>
      </c>
      <c r="Y26" s="108"/>
      <c r="Z26" s="108"/>
      <c r="AA26" s="108"/>
      <c r="AB26" s="108"/>
    </row>
    <row r="27" spans="1:28" ht="25.5" customHeight="1" x14ac:dyDescent="0.3">
      <c r="A27" s="268" t="s">
        <v>28</v>
      </c>
      <c r="B27" s="268"/>
      <c r="C27" s="268"/>
      <c r="D27" s="268"/>
      <c r="E27" s="12" t="s">
        <v>29</v>
      </c>
      <c r="F27" s="133">
        <f>+AB27</f>
        <v>0</v>
      </c>
      <c r="G27" s="7"/>
      <c r="O27" s="50"/>
      <c r="P27">
        <f>COLUMN('Attribution aux cat. de salaire'!$H$71)</f>
        <v>8</v>
      </c>
      <c r="Q27" s="50"/>
      <c r="R27" s="254" t="str">
        <f>+A27</f>
        <v>Somme globale des heures à effectuer normalement pour tous les travailleurs ayants droit</v>
      </c>
      <c r="S27" s="254"/>
      <c r="T27" s="254"/>
      <c r="U27" s="255"/>
      <c r="V27" s="133">
        <f>VLOOKUP(V$23,'Attribution aux cat. de salaire'!$A$72:$M$74,$P27,FALSE)</f>
        <v>0</v>
      </c>
      <c r="W27" s="108"/>
      <c r="X27" s="133">
        <f>VLOOKUP(X$23,'Attribution aux cat. de salaire'!$A$72:$M$74,$P27,FALSE)</f>
        <v>0</v>
      </c>
      <c r="Y27" s="108"/>
      <c r="Z27" s="133">
        <f>VLOOKUP(Z$23,'Attribution aux cat. de salaire'!$A$72:$M$74,$P27,FALSE)</f>
        <v>0</v>
      </c>
      <c r="AA27" s="108"/>
      <c r="AB27" s="133">
        <f>SUM(V27,X27,Z27)</f>
        <v>0</v>
      </c>
    </row>
    <row r="28" spans="1:28" ht="25.5" customHeight="1" x14ac:dyDescent="0.3">
      <c r="A28" s="268" t="s">
        <v>30</v>
      </c>
      <c r="B28" s="268"/>
      <c r="C28" s="268"/>
      <c r="D28" s="268"/>
      <c r="E28" s="12" t="s">
        <v>29</v>
      </c>
      <c r="F28" s="133">
        <f>+AB28</f>
        <v>0</v>
      </c>
      <c r="G28" s="7"/>
      <c r="O28" s="50"/>
      <c r="P28">
        <f>COLUMN('Attribution aux cat. de salaire'!$I$71)</f>
        <v>9</v>
      </c>
      <c r="Q28" s="50"/>
      <c r="R28" s="254" t="str">
        <f>+A28</f>
        <v>Somme des heures perdues pour des raisons économiques pour tous les travailleurs concernés par la RHT</v>
      </c>
      <c r="S28" s="254"/>
      <c r="T28" s="254"/>
      <c r="U28" s="255"/>
      <c r="V28" s="133">
        <f>IF(V25=0,0,VLOOKUP(V$23,'Attribution aux cat. de salaire'!$A$72:$M$74,$P28,FALSE))</f>
        <v>0</v>
      </c>
      <c r="W28" s="108"/>
      <c r="X28" s="133">
        <f>IF(X25=0,0,VLOOKUP(X$23,'Attribution aux cat. de salaire'!$A$72:$M$74,$P28,FALSE))</f>
        <v>0</v>
      </c>
      <c r="Y28" s="108"/>
      <c r="Z28" s="133">
        <f>IF(Z25=0,0,VLOOKUP(Z$23,'Attribution aux cat. de salaire'!$A$72:$M$74,$P28,FALSE))</f>
        <v>0</v>
      </c>
      <c r="AA28" s="108"/>
      <c r="AB28" s="133">
        <f>SUM(V28,X28,Z28)</f>
        <v>0</v>
      </c>
    </row>
    <row r="29" spans="1:28" ht="25.5" customHeight="1" x14ac:dyDescent="0.3">
      <c r="A29" s="259" t="s">
        <v>31</v>
      </c>
      <c r="B29" s="259"/>
      <c r="C29" s="259"/>
      <c r="D29" s="259"/>
      <c r="E29" s="12"/>
      <c r="F29" s="28">
        <f>+AB29</f>
        <v>0</v>
      </c>
      <c r="G29" s="8"/>
      <c r="J29" s="176" t="s">
        <v>33</v>
      </c>
      <c r="O29" s="50"/>
      <c r="P29" s="50"/>
      <c r="Q29" s="50"/>
      <c r="R29" s="254" t="str">
        <f>+A29</f>
        <v>Pourcentage de la perte de travail pour des raisons économiques</v>
      </c>
      <c r="S29" s="254"/>
      <c r="T29" s="254"/>
      <c r="U29" s="255"/>
      <c r="V29" s="134">
        <f>IF(V28=0,0,IF(V28&gt;V27,$J29,V28/V27))</f>
        <v>0</v>
      </c>
      <c r="W29" s="108"/>
      <c r="X29" s="134">
        <f>IF(X28=0,0,IF(X28&gt;X27,$J29,X28/X27))</f>
        <v>0</v>
      </c>
      <c r="Y29" s="108"/>
      <c r="Z29" s="134">
        <f>IF(Z28=0,0,IF(Z28&gt;Z27,$J29,Z28/Z27))</f>
        <v>0</v>
      </c>
      <c r="AA29" s="108"/>
      <c r="AB29" s="134">
        <f>IF(AB28=0,0,IF(OR(ISTEXT(V29),ISTEXT(X29),ISTEXT(Z29)),$J29,IF(AB28&gt;AB27,$J29,AB28/AB27)))</f>
        <v>0</v>
      </c>
    </row>
    <row r="30" spans="1:28" ht="28.9" customHeight="1" x14ac:dyDescent="0.3">
      <c r="A30" s="240" t="s">
        <v>81</v>
      </c>
      <c r="B30" s="240"/>
      <c r="C30" s="240"/>
      <c r="D30" s="240"/>
      <c r="E30" s="240"/>
      <c r="F30" s="240"/>
      <c r="G30" s="9"/>
      <c r="V30" s="108"/>
      <c r="W30" s="108"/>
      <c r="X30" s="108"/>
      <c r="Y30" s="108"/>
      <c r="Z30" s="108"/>
      <c r="AA30" s="108"/>
      <c r="AB30" s="108"/>
    </row>
    <row r="31" spans="1:28" ht="25.5" customHeight="1" x14ac:dyDescent="0.3">
      <c r="A31" s="241" t="s">
        <v>34</v>
      </c>
      <c r="B31" s="241"/>
      <c r="C31" s="241"/>
      <c r="D31" s="241"/>
      <c r="E31" s="2"/>
      <c r="F31" s="13"/>
      <c r="G31" s="160"/>
      <c r="I31" s="50"/>
      <c r="J31" s="50"/>
      <c r="K31" s="50"/>
      <c r="R31" s="252" t="str">
        <f>+A31</f>
        <v>Perte de gain</v>
      </c>
      <c r="S31" s="252"/>
      <c r="T31" s="252"/>
      <c r="U31" s="252"/>
      <c r="V31" s="108"/>
      <c r="W31" s="108"/>
      <c r="X31" s="108"/>
      <c r="Y31" s="108"/>
      <c r="Z31" s="108"/>
      <c r="AA31" s="108"/>
      <c r="AB31" s="108"/>
    </row>
    <row r="32" spans="1:28" ht="33.65" customHeight="1" x14ac:dyDescent="0.3">
      <c r="A32" s="294" t="s">
        <v>35</v>
      </c>
      <c r="B32" s="294"/>
      <c r="C32" s="294"/>
      <c r="D32" s="294"/>
      <c r="E32" s="14" t="s">
        <v>36</v>
      </c>
      <c r="F32" s="133">
        <f>+AB32</f>
        <v>0</v>
      </c>
      <c r="G32" s="3"/>
      <c r="P32">
        <f>COLUMN('Attribution aux cat. de salaire'!$L$71)</f>
        <v>12</v>
      </c>
      <c r="R32" s="254" t="str">
        <f>+A32</f>
        <v>Somme des salaires soumis aux cotisations AVS de tous les travailleurs ayants droit
(max. 12'350 francs par personne)</v>
      </c>
      <c r="S32" s="254"/>
      <c r="T32" s="254"/>
      <c r="U32" s="255"/>
      <c r="V32" s="133">
        <f>VLOOKUP(V$23,'Attribution aux cat. de salaire'!$A$72:$M$74,$P32,FALSE)</f>
        <v>0</v>
      </c>
      <c r="W32" s="108"/>
      <c r="X32" s="133">
        <f>VLOOKUP(X$23,'Attribution aux cat. de salaire'!$A$72:$M$74,$P32,FALSE)</f>
        <v>0</v>
      </c>
      <c r="Y32" s="108"/>
      <c r="Z32" s="133">
        <f>VLOOKUP(Z$23,'Attribution aux cat. de salaire'!$A$72:$M$74,$P32,FALSE)</f>
        <v>0</v>
      </c>
      <c r="AA32" s="108"/>
      <c r="AB32" s="133">
        <f t="shared" ref="AB32" si="0">SUM(V32,X32,Z32)</f>
        <v>0</v>
      </c>
    </row>
    <row r="33" spans="1:28" ht="25.5" customHeight="1" x14ac:dyDescent="0.3">
      <c r="A33" s="268" t="s">
        <v>37</v>
      </c>
      <c r="B33" s="268"/>
      <c r="C33" s="268"/>
      <c r="D33" s="268"/>
      <c r="E33" s="14" t="s">
        <v>36</v>
      </c>
      <c r="F33" s="11">
        <f>+AB33</f>
        <v>0</v>
      </c>
      <c r="G33" s="201"/>
      <c r="H33" s="202"/>
      <c r="R33" s="254" t="str">
        <f>+A33</f>
        <v>Somme des salaires pour les heures perdues (% de la perte de travail pour des raisons économiques)</v>
      </c>
      <c r="S33" s="254"/>
      <c r="T33" s="254"/>
      <c r="U33" s="255"/>
      <c r="V33" s="109">
        <f>IF(ISTEXT(V29),"",ROUND(IF(OR(V32="",V32&gt;V24*12350),"",V32*V29)*20,0)/20)</f>
        <v>0</v>
      </c>
      <c r="X33" s="109">
        <f>IF(ISTEXT(X29),"",ROUND(IF(OR(X32="",X32&gt;X24*12350),"",X32*X29)*20,0)/20)</f>
        <v>0</v>
      </c>
      <c r="Z33" s="109">
        <f>IF(ISTEXT(Z29),"",ROUND(IF(OR(Z32="",Z32&gt;Z24*12350),"",Z32*Z29)*20,0)/20)</f>
        <v>0</v>
      </c>
      <c r="AB33" s="109">
        <f>IF(OR(ISTEXT(V33),ISTEXT(X33),ISTEXT(Z33)),"",SUM(V33,X33,Z33))</f>
        <v>0</v>
      </c>
    </row>
    <row r="34" spans="1:28" ht="26.5" customHeight="1" x14ac:dyDescent="0.3">
      <c r="A34" s="242" t="str">
        <f>IF(F32&gt;F24*12350,J34,"")</f>
        <v/>
      </c>
      <c r="B34" s="243"/>
      <c r="C34" s="243"/>
      <c r="D34" s="243"/>
      <c r="E34" s="243"/>
      <c r="F34" s="243"/>
      <c r="G34" s="3"/>
      <c r="J34" s="176" t="s">
        <v>38</v>
      </c>
    </row>
    <row r="35" spans="1:28" ht="25.5" customHeight="1" x14ac:dyDescent="0.3">
      <c r="A35" s="241" t="s">
        <v>39</v>
      </c>
      <c r="B35" s="241"/>
      <c r="C35" s="241"/>
      <c r="D35" s="241"/>
      <c r="E35" s="2"/>
      <c r="F35" s="13"/>
      <c r="G35" s="160"/>
      <c r="R35" s="252" t="str">
        <f>A35</f>
        <v>Calcul de l’indemnité</v>
      </c>
      <c r="S35" s="252"/>
      <c r="T35" s="253" t="s">
        <v>60</v>
      </c>
      <c r="U35" s="253"/>
      <c r="V35" s="122">
        <v>1</v>
      </c>
      <c r="W35" s="104"/>
      <c r="X35" s="211" t="str">
        <f>IF(ISERROR(+X36/X33),"",+X36/X33)</f>
        <v/>
      </c>
      <c r="Y35" s="104"/>
      <c r="Z35" s="122">
        <v>0.8</v>
      </c>
      <c r="AA35" s="104"/>
      <c r="AB35" s="122"/>
    </row>
    <row r="36" spans="1:28" ht="25.5" customHeight="1" x14ac:dyDescent="0.3">
      <c r="A36" s="259" t="s">
        <v>40</v>
      </c>
      <c r="B36" s="259"/>
      <c r="C36" s="259"/>
      <c r="D36" s="259"/>
      <c r="E36" s="14" t="s">
        <v>36</v>
      </c>
      <c r="F36" s="11">
        <f>+AB36</f>
        <v>0</v>
      </c>
      <c r="J36" t="s">
        <v>128</v>
      </c>
      <c r="R36" s="254" t="str">
        <f>+A36</f>
        <v>Indemnité de la somme des salaires pour les heures perdues</v>
      </c>
      <c r="S36" s="254"/>
      <c r="T36" s="254"/>
      <c r="U36" s="255"/>
      <c r="V36" s="109">
        <f>IF(ISTEXT(V33),"",ROUND(V33*V35*20,0)/20)</f>
        <v>0</v>
      </c>
      <c r="X36" s="133">
        <f>IF(ISTEXT(X33),"",IF(OR(G26=0,ISTEXT(X29)),0,MIN(MAX(+X33*Z35,3470/(X26/5*G16)*X28),X33)))</f>
        <v>0</v>
      </c>
      <c r="Z36" s="109">
        <f>IF(ISTEXT(Z33),"",ROUND(Z33*Z35*20,0)/20)</f>
        <v>0</v>
      </c>
      <c r="AB36" s="109">
        <f>IF(OR(ISTEXT(V36),ISTEXT(X36),ISTEXT(Z36)),"",SUM(V36,X36,Z36))</f>
        <v>0</v>
      </c>
    </row>
    <row r="37" spans="1:28" ht="25.5" customHeight="1" x14ac:dyDescent="0.3">
      <c r="A37" s="227" t="s">
        <v>126</v>
      </c>
      <c r="B37" s="227"/>
      <c r="C37" s="227"/>
      <c r="D37" s="227"/>
      <c r="E37" s="14" t="s">
        <v>36</v>
      </c>
      <c r="F37" s="16">
        <f>+AB37</f>
        <v>0</v>
      </c>
      <c r="J37" s="233">
        <f>IF(OR(V25=0,V24=0),0,IF(ROUND(V32/$F$20*V35/V24*V25*20,0)/20&gt;=ROUND(V36*20,0)/20,V36,ROUND(V32/$F$20*V35/V24*V25*20,0)/20))</f>
        <v>0</v>
      </c>
      <c r="K37" s="233"/>
      <c r="L37" s="233">
        <f>IF(OR(X35="",X25=0,X24=0),0,IF(ROUND(X32/$F$20*X35/X24*X25*20,0)/20&gt;=ROUND(X36*20,0)/20,X36,ROUND(X32/$F$20*X35/X24*X25*20,0)/20))</f>
        <v>0</v>
      </c>
      <c r="M37" s="233"/>
      <c r="N37" s="233">
        <f t="shared" ref="N37" si="1">IF(OR(Z25=0,Z24=0),0,IF(ROUND(Z32/$F$20*Z35/Z24*Z25*20,0)/20&gt;=ROUND(Z36*20,0)/20,Z36,ROUND(Z32/$F$20*Z35/Z24*Z25*20,0)/20))</f>
        <v>0</v>
      </c>
      <c r="R37" s="254" t="s">
        <v>127</v>
      </c>
      <c r="S37" s="254"/>
      <c r="T37" s="254"/>
      <c r="U37" s="255"/>
      <c r="V37" s="234">
        <f>-J37</f>
        <v>0</v>
      </c>
      <c r="W37" s="236"/>
      <c r="X37" s="235">
        <f t="shared" ref="X37:Z37" si="2">-L37</f>
        <v>0</v>
      </c>
      <c r="Y37" s="236"/>
      <c r="Z37" s="110">
        <f t="shared" si="2"/>
        <v>0</v>
      </c>
      <c r="AB37" s="110">
        <f>IF(OR(ISTEXT(V37),ISTEXT(X37),ISTEXT(Z37)),"",SUM(V37,X37,Z37))</f>
        <v>0</v>
      </c>
    </row>
    <row r="38" spans="1:28" ht="25.5" customHeight="1" x14ac:dyDescent="0.3">
      <c r="A38" s="227" t="s">
        <v>125</v>
      </c>
      <c r="B38" s="227"/>
      <c r="C38" s="227"/>
      <c r="D38" s="227"/>
      <c r="E38" s="14" t="s">
        <v>36</v>
      </c>
      <c r="F38" s="16">
        <f>+AB38</f>
        <v>0</v>
      </c>
      <c r="R38" s="231" t="s">
        <v>125</v>
      </c>
      <c r="S38" s="231"/>
      <c r="T38" s="231"/>
      <c r="U38" s="232"/>
      <c r="V38" s="110">
        <f>SUM(V36:V37)</f>
        <v>0</v>
      </c>
      <c r="W38" s="236"/>
      <c r="X38" s="230">
        <f>SUM(X36:X37)</f>
        <v>0</v>
      </c>
      <c r="Z38" s="110">
        <f>SUM(Z36:Z37)</f>
        <v>0</v>
      </c>
      <c r="AB38" s="110">
        <f>IF(OR(ISTEXT(V38),ISTEXT(X38),ISTEXT(Z38)),"",SUM(V38,X38,Z38))</f>
        <v>0</v>
      </c>
    </row>
    <row r="39" spans="1:28" ht="31.5" customHeight="1" thickBot="1" x14ac:dyDescent="0.35">
      <c r="A39" s="248" t="str">
        <f>IF(ISBLANK(C16),"",TEXT(VLOOKUP($C$16,$H$9:$I$11,2,FALSE),"0.000%"))&amp;" de cotisations employeur aux assurances sociales (AVS/AI/APG/AC)"</f>
        <v>6.400% de cotisations employeur aux assurances sociales (AVS/AI/APG/AC)</v>
      </c>
      <c r="B39" s="248"/>
      <c r="C39" s="248"/>
      <c r="D39" s="248"/>
      <c r="E39" s="14" t="s">
        <v>0</v>
      </c>
      <c r="F39" s="16">
        <f>+AB39</f>
        <v>0</v>
      </c>
      <c r="G39" s="203"/>
      <c r="H39" s="204"/>
      <c r="J39" s="176" t="s">
        <v>41</v>
      </c>
      <c r="R39" s="254" t="str">
        <f>+A39</f>
        <v>6.400% de cotisations employeur aux assurances sociales (AVS/AI/APG/AC)</v>
      </c>
      <c r="S39" s="254"/>
      <c r="T39" s="254"/>
      <c r="U39" s="255"/>
      <c r="V39" s="110">
        <f>IF($AB$36+$AB$37&lt;=0,0,ROUND(IF(V36=0,0,V33*VLOOKUP($C$16,$H$9:$I$11,2,FALSE))*20,0)/20)</f>
        <v>0</v>
      </c>
      <c r="W39" s="236"/>
      <c r="X39" s="110">
        <f t="shared" ref="X39:Z39" si="3">IF($AB$36+$AB$37&lt;=0,0,ROUND(IF(X36=0,0,X33*VLOOKUP($C$16,$H$9:$I$11,2,FALSE))*20,0)/20)</f>
        <v>0</v>
      </c>
      <c r="Y39" s="236"/>
      <c r="Z39" s="110">
        <f t="shared" si="3"/>
        <v>0</v>
      </c>
      <c r="AB39" s="110">
        <f t="shared" ref="AB39" si="4">SUM(V39,X39,Z39)</f>
        <v>0</v>
      </c>
    </row>
    <row r="40" spans="1:28" ht="44.5" customHeight="1" thickBot="1" x14ac:dyDescent="0.35">
      <c r="A40" s="249" t="s">
        <v>82</v>
      </c>
      <c r="B40" s="250"/>
      <c r="C40" s="256" t="e">
        <f>IF(-#REF!&gt;=F36,J41,"")</f>
        <v>#REF!</v>
      </c>
      <c r="D40" s="256"/>
      <c r="E40" s="15" t="s">
        <v>0</v>
      </c>
      <c r="F40" s="27" t="str">
        <f>+AB40</f>
        <v>% mini. heures perdues non atteint</v>
      </c>
      <c r="G40" s="205"/>
      <c r="H40" s="204"/>
      <c r="J40" s="31" t="s">
        <v>42</v>
      </c>
      <c r="V40" s="111">
        <f>ROUND(SUM(V38:V39)*20,0)/20</f>
        <v>0</v>
      </c>
      <c r="X40" s="111">
        <f>ROUND(SUM(X38:X39)*20,0)/20</f>
        <v>0</v>
      </c>
      <c r="Z40" s="111">
        <f>ROUND(SUM(Z38:Z39)*20,0)/20</f>
        <v>0</v>
      </c>
      <c r="AB40" s="111" t="str">
        <f>IF(OR(ISTEXT(F20),AND(C19*E19&gt;0,OR(I17&lt;&gt;I18,I17&lt;&gt;I19))),$J$17,IF(SUM(V25,X25,Z25)&gt;AB24,$I$25,IF(AB29&lt;0.1,$J40,ROUND(SUM(AB38:AB39)*20,0)/20)))</f>
        <v>% mini. heures perdues non atteint</v>
      </c>
    </row>
    <row r="41" spans="1:28" ht="18" customHeight="1" x14ac:dyDescent="0.35">
      <c r="A41" s="1"/>
      <c r="B41" s="1"/>
      <c r="C41" s="1"/>
      <c r="D41" s="1"/>
      <c r="E41" s="1"/>
      <c r="F41" s="177"/>
      <c r="J41" s="176" t="s">
        <v>41</v>
      </c>
    </row>
    <row r="42" spans="1:28" x14ac:dyDescent="0.3">
      <c r="A42" s="178" t="s">
        <v>45</v>
      </c>
      <c r="B42" s="35"/>
      <c r="C42" s="35"/>
      <c r="D42" s="35"/>
      <c r="E42" s="35"/>
      <c r="F42" s="179"/>
      <c r="I42" s="31"/>
      <c r="J42" s="31" t="s">
        <v>42</v>
      </c>
      <c r="K42" s="31"/>
      <c r="L42" s="31"/>
      <c r="M42" s="31"/>
      <c r="R42"/>
      <c r="S42"/>
      <c r="T42"/>
      <c r="U42"/>
      <c r="V42"/>
      <c r="W42"/>
      <c r="X42"/>
      <c r="Y42"/>
      <c r="Z42"/>
      <c r="AA42"/>
      <c r="AB42"/>
    </row>
    <row r="43" spans="1:28" ht="210" customHeight="1" x14ac:dyDescent="0.3">
      <c r="A43" s="247" t="s">
        <v>137</v>
      </c>
      <c r="B43" s="247"/>
      <c r="C43" s="247"/>
      <c r="D43" s="247"/>
      <c r="E43" s="247"/>
      <c r="F43" s="247"/>
      <c r="R43"/>
      <c r="S43"/>
      <c r="T43"/>
      <c r="U43"/>
      <c r="V43"/>
      <c r="W43"/>
      <c r="X43"/>
      <c r="Y43"/>
      <c r="Z43"/>
      <c r="AA43"/>
      <c r="AB43"/>
    </row>
    <row r="44" spans="1:28" ht="68.150000000000006" customHeight="1" x14ac:dyDescent="0.3">
      <c r="A44" s="251" t="s">
        <v>138</v>
      </c>
      <c r="B44" s="251"/>
      <c r="C44" s="251"/>
      <c r="D44" s="251"/>
      <c r="E44" s="251"/>
      <c r="F44" s="251"/>
      <c r="R44"/>
      <c r="S44"/>
      <c r="T44"/>
      <c r="U44"/>
      <c r="V44"/>
      <c r="W44"/>
      <c r="X44"/>
      <c r="Y44"/>
      <c r="Z44"/>
      <c r="AA44"/>
      <c r="AB44"/>
    </row>
    <row r="45" spans="1:28" ht="83.25" customHeight="1" x14ac:dyDescent="0.3">
      <c r="A45" s="251" t="s">
        <v>139</v>
      </c>
      <c r="B45" s="251"/>
      <c r="C45" s="251"/>
      <c r="D45" s="251"/>
      <c r="E45" s="251"/>
      <c r="F45" s="251"/>
      <c r="I45" s="31"/>
      <c r="J45" s="31"/>
      <c r="K45" s="31"/>
      <c r="L45" s="31"/>
      <c r="M45" s="31"/>
      <c r="R45"/>
      <c r="S45"/>
      <c r="T45"/>
      <c r="U45"/>
      <c r="V45"/>
      <c r="W45"/>
      <c r="X45"/>
      <c r="Y45"/>
      <c r="Z45"/>
      <c r="AA45"/>
      <c r="AB45"/>
    </row>
    <row r="46" spans="1:28" ht="93.75" customHeight="1" x14ac:dyDescent="0.3">
      <c r="A46" s="247" t="s">
        <v>140</v>
      </c>
      <c r="B46" s="247"/>
      <c r="C46" s="247"/>
      <c r="D46" s="247"/>
      <c r="E46" s="247"/>
      <c r="F46" s="247"/>
      <c r="R46"/>
      <c r="S46"/>
      <c r="T46"/>
      <c r="U46"/>
      <c r="V46"/>
      <c r="W46"/>
      <c r="X46"/>
      <c r="Y46"/>
      <c r="Z46"/>
      <c r="AA46"/>
      <c r="AB46"/>
    </row>
    <row r="47" spans="1:28" ht="13.5" customHeight="1" x14ac:dyDescent="0.3">
      <c r="A47" s="238" t="s">
        <v>141</v>
      </c>
      <c r="B47" s="36"/>
      <c r="C47" s="36"/>
      <c r="D47" s="36"/>
      <c r="E47" s="36"/>
      <c r="F47" s="37"/>
      <c r="R47"/>
      <c r="S47"/>
      <c r="T47"/>
      <c r="U47"/>
      <c r="V47"/>
      <c r="W47"/>
      <c r="X47"/>
      <c r="Y47"/>
      <c r="Z47"/>
      <c r="AA47"/>
      <c r="AB47"/>
    </row>
    <row r="48" spans="1:28" ht="55.5" customHeight="1" x14ac:dyDescent="0.3">
      <c r="A48" s="244" t="s">
        <v>142</v>
      </c>
      <c r="B48" s="244"/>
      <c r="C48" s="244"/>
      <c r="D48" s="244"/>
      <c r="E48" s="244"/>
      <c r="F48" s="244"/>
      <c r="R48"/>
      <c r="S48"/>
      <c r="T48"/>
      <c r="U48"/>
      <c r="V48"/>
      <c r="W48"/>
      <c r="X48"/>
      <c r="Y48"/>
      <c r="Z48"/>
      <c r="AA48"/>
      <c r="AB48"/>
    </row>
    <row r="49" spans="1:29" ht="66" customHeight="1" x14ac:dyDescent="0.3">
      <c r="A49" s="244" t="s">
        <v>136</v>
      </c>
      <c r="B49" s="244"/>
      <c r="C49" s="244"/>
      <c r="D49" s="244"/>
      <c r="E49" s="244"/>
      <c r="F49" s="244"/>
      <c r="R49"/>
      <c r="S49"/>
      <c r="T49"/>
      <c r="U49"/>
      <c r="V49"/>
      <c r="W49"/>
      <c r="X49"/>
      <c r="Y49"/>
      <c r="Z49"/>
      <c r="AA49"/>
      <c r="AB49"/>
    </row>
    <row r="50" spans="1:29" ht="16" customHeight="1" x14ac:dyDescent="0.3">
      <c r="A50" s="178" t="s">
        <v>46</v>
      </c>
      <c r="B50" s="35"/>
      <c r="C50" s="35"/>
      <c r="D50" s="35"/>
      <c r="E50" s="35"/>
      <c r="F50" s="179"/>
      <c r="R50"/>
      <c r="S50"/>
      <c r="T50"/>
      <c r="U50"/>
      <c r="V50"/>
      <c r="W50"/>
      <c r="X50"/>
      <c r="Y50"/>
      <c r="Z50"/>
      <c r="AA50"/>
      <c r="AB50"/>
    </row>
    <row r="51" spans="1:29" ht="53.15" customHeight="1" x14ac:dyDescent="0.3">
      <c r="A51" s="245" t="s">
        <v>47</v>
      </c>
      <c r="B51" s="245"/>
      <c r="C51" s="245"/>
      <c r="D51" s="245"/>
      <c r="E51" s="245"/>
      <c r="F51" s="245"/>
      <c r="I51" s="31"/>
      <c r="J51" s="31"/>
      <c r="K51" s="31"/>
      <c r="L51" s="31"/>
      <c r="M51" s="31"/>
      <c r="R51"/>
      <c r="S51"/>
      <c r="T51"/>
      <c r="U51"/>
      <c r="V51"/>
      <c r="W51"/>
      <c r="X51"/>
      <c r="Y51"/>
      <c r="Z51"/>
      <c r="AA51"/>
      <c r="AB51"/>
    </row>
    <row r="52" spans="1:29" s="31" customFormat="1" ht="13.5" customHeight="1" x14ac:dyDescent="0.3">
      <c r="A52" s="246" t="s">
        <v>48</v>
      </c>
      <c r="B52" s="246"/>
      <c r="C52" s="246"/>
      <c r="D52" s="246"/>
      <c r="E52" s="246"/>
      <c r="F52" s="246"/>
      <c r="G52" s="30"/>
      <c r="H52" s="30"/>
    </row>
    <row r="53" spans="1:29" s="31" customFormat="1" ht="29.25" customHeight="1" x14ac:dyDescent="0.3">
      <c r="A53" s="244" t="s">
        <v>49</v>
      </c>
      <c r="B53" s="244"/>
      <c r="C53" s="244"/>
      <c r="D53" s="244"/>
      <c r="E53" s="244"/>
      <c r="F53" s="244"/>
      <c r="G53" s="30"/>
      <c r="H53" s="30"/>
      <c r="I53"/>
      <c r="J53"/>
      <c r="K53"/>
      <c r="L53"/>
      <c r="M53"/>
    </row>
    <row r="54" spans="1:29" ht="14.5" customHeight="1" x14ac:dyDescent="0.3">
      <c r="A54" s="244" t="s">
        <v>146</v>
      </c>
      <c r="B54" s="244"/>
      <c r="C54" s="244"/>
      <c r="D54" s="244"/>
      <c r="E54" s="244"/>
      <c r="F54" s="244"/>
      <c r="I54" s="31"/>
      <c r="J54" s="31"/>
      <c r="K54" s="31"/>
      <c r="L54" s="31"/>
      <c r="M54" s="31"/>
      <c r="R54"/>
      <c r="S54"/>
      <c r="T54"/>
      <c r="U54"/>
      <c r="V54"/>
      <c r="W54"/>
      <c r="X54"/>
      <c r="Y54"/>
      <c r="Z54"/>
      <c r="AA54"/>
      <c r="AB54"/>
    </row>
    <row r="55" spans="1:29" ht="26.15" customHeight="1" x14ac:dyDescent="0.3">
      <c r="A55" s="244"/>
      <c r="B55" s="244"/>
      <c r="C55" s="244"/>
      <c r="D55" s="244"/>
      <c r="E55" s="244"/>
      <c r="F55" s="244"/>
      <c r="R55"/>
      <c r="S55"/>
      <c r="T55"/>
      <c r="U55"/>
      <c r="V55"/>
      <c r="W55"/>
      <c r="X55"/>
      <c r="Y55"/>
      <c r="Z55"/>
      <c r="AA55"/>
      <c r="AB55"/>
    </row>
    <row r="56" spans="1:29" ht="14.15" customHeight="1" x14ac:dyDescent="0.3">
      <c r="A56" s="180" t="s">
        <v>50</v>
      </c>
      <c r="B56" s="36"/>
      <c r="C56" s="36"/>
      <c r="D56" s="36"/>
      <c r="E56" s="36"/>
      <c r="F56" s="37"/>
      <c r="I56" s="31"/>
      <c r="J56" s="31"/>
      <c r="K56" s="31"/>
      <c r="L56" s="31"/>
      <c r="M56" s="31"/>
      <c r="R56"/>
      <c r="S56"/>
      <c r="T56"/>
      <c r="U56"/>
      <c r="V56"/>
      <c r="W56"/>
      <c r="X56"/>
      <c r="Y56"/>
      <c r="Z56"/>
      <c r="AA56"/>
      <c r="AB56"/>
    </row>
    <row r="57" spans="1:29" ht="41.15" customHeight="1" x14ac:dyDescent="0.3">
      <c r="A57" s="244" t="s">
        <v>51</v>
      </c>
      <c r="B57" s="244"/>
      <c r="C57" s="244"/>
      <c r="D57" s="244"/>
      <c r="E57" s="244"/>
      <c r="F57" s="244"/>
      <c r="R57"/>
      <c r="S57"/>
      <c r="T57"/>
      <c r="U57"/>
      <c r="V57"/>
      <c r="W57"/>
      <c r="X57"/>
      <c r="Y57"/>
      <c r="Z57"/>
      <c r="AA57"/>
      <c r="AB57"/>
    </row>
    <row r="58" spans="1:29" ht="67.5" customHeight="1" x14ac:dyDescent="0.3">
      <c r="A58" s="322" t="s">
        <v>145</v>
      </c>
      <c r="B58" s="323"/>
      <c r="C58" s="323"/>
      <c r="D58" s="323"/>
      <c r="E58" s="323"/>
      <c r="F58" s="323"/>
      <c r="R58"/>
      <c r="S58"/>
      <c r="T58"/>
      <c r="U58"/>
      <c r="V58"/>
      <c r="W58"/>
      <c r="X58"/>
      <c r="Y58"/>
      <c r="Z58"/>
      <c r="AA58"/>
      <c r="AB58"/>
    </row>
    <row r="59" spans="1:29" ht="30" customHeight="1" x14ac:dyDescent="0.3">
      <c r="A59" s="244" t="s">
        <v>52</v>
      </c>
      <c r="B59" s="244"/>
      <c r="C59" s="244"/>
      <c r="D59" s="244"/>
      <c r="E59" s="244"/>
      <c r="F59" s="244"/>
      <c r="I59" s="31"/>
      <c r="J59" s="31"/>
      <c r="K59" s="31"/>
      <c r="L59" s="31"/>
      <c r="M59" s="31"/>
      <c r="R59"/>
      <c r="S59"/>
      <c r="T59"/>
      <c r="U59"/>
      <c r="V59"/>
      <c r="W59"/>
      <c r="X59"/>
      <c r="Y59"/>
      <c r="Z59"/>
      <c r="AA59"/>
      <c r="AB59"/>
    </row>
    <row r="60" spans="1:29" ht="15" customHeight="1" x14ac:dyDescent="0.3">
      <c r="A60" s="244" t="s">
        <v>53</v>
      </c>
      <c r="B60" s="244"/>
      <c r="C60" s="244"/>
      <c r="D60" s="244"/>
      <c r="E60" s="244"/>
      <c r="F60" s="244"/>
      <c r="R60"/>
      <c r="S60"/>
      <c r="T60"/>
      <c r="U60"/>
      <c r="V60"/>
      <c r="W60"/>
      <c r="X60"/>
      <c r="Y60"/>
      <c r="Z60"/>
      <c r="AA60"/>
      <c r="AB60"/>
    </row>
    <row r="61" spans="1:29" ht="14.5" customHeight="1" x14ac:dyDescent="0.3">
      <c r="A61" s="35" t="s">
        <v>54</v>
      </c>
      <c r="B61" s="35"/>
      <c r="C61" s="35"/>
      <c r="D61" s="35" t="s">
        <v>55</v>
      </c>
      <c r="E61" s="35"/>
      <c r="F61" s="35"/>
      <c r="I61" s="31"/>
      <c r="J61" s="31"/>
      <c r="K61" s="31"/>
      <c r="L61" s="31"/>
      <c r="M61" s="31"/>
      <c r="R61"/>
      <c r="S61"/>
      <c r="T61"/>
      <c r="U61"/>
      <c r="V61"/>
      <c r="W61"/>
      <c r="X61"/>
      <c r="Y61"/>
      <c r="Z61"/>
      <c r="AA61"/>
      <c r="AB61"/>
    </row>
    <row r="62" spans="1:29" ht="9.65" customHeight="1" x14ac:dyDescent="0.35">
      <c r="A62" s="1"/>
      <c r="B62" s="1"/>
      <c r="C62" s="1"/>
      <c r="D62" s="1"/>
      <c r="E62" s="1"/>
      <c r="F62" s="10"/>
      <c r="R62"/>
      <c r="S62"/>
      <c r="T62"/>
      <c r="U62"/>
      <c r="V62"/>
      <c r="W62"/>
      <c r="X62"/>
      <c r="Y62"/>
      <c r="Z62"/>
      <c r="AA62"/>
      <c r="AB62"/>
    </row>
    <row r="63" spans="1:29" ht="20.149999999999999" customHeight="1" x14ac:dyDescent="0.3">
      <c r="A63" s="321"/>
      <c r="B63" s="321"/>
      <c r="C63" s="35"/>
      <c r="D63" s="35"/>
      <c r="E63" s="35"/>
      <c r="F63" s="35"/>
      <c r="R63" s="145"/>
      <c r="S63" s="145"/>
      <c r="T63" s="145"/>
      <c r="U63" s="145"/>
      <c r="V63" s="145"/>
      <c r="W63" s="145"/>
      <c r="X63" s="145"/>
      <c r="Y63" s="145"/>
      <c r="Z63" s="145"/>
      <c r="AA63" s="145"/>
      <c r="AB63" s="145"/>
      <c r="AC63" s="145"/>
    </row>
    <row r="64" spans="1:29" ht="6.65" customHeight="1" x14ac:dyDescent="0.35">
      <c r="A64" s="1"/>
      <c r="B64" s="1"/>
      <c r="C64" s="1"/>
      <c r="D64" s="1"/>
      <c r="E64" s="1"/>
      <c r="F64" s="10"/>
      <c r="R64"/>
      <c r="S64"/>
      <c r="T64"/>
      <c r="U64"/>
      <c r="V64"/>
      <c r="W64"/>
      <c r="X64"/>
      <c r="Y64"/>
      <c r="Z64"/>
      <c r="AA64"/>
      <c r="AB64"/>
    </row>
    <row r="65" spans="1:28" ht="24.75" customHeight="1" x14ac:dyDescent="0.3">
      <c r="A65" s="38" t="s">
        <v>56</v>
      </c>
      <c r="B65" s="239" t="str">
        <f>"- justificatifs internes relatifs aux" &amp; IF(AND(ISERROR(V44),ISERROR(X44)),""," ")&amp;"heures à effectuer normalement, aux heures perdues pour des raisons économiques et à la somme des salaires, tels que les listes d'heures et les journaux des salaiares"</f>
        <v>- justificatifs internes relatifs aux heures à effectuer normalement, aux heures perdues pour des raisons économiques et à la somme des salaires, tels que les listes d'heures et les journaux des salaiares</v>
      </c>
      <c r="C65" s="239"/>
      <c r="D65" s="239"/>
      <c r="E65" s="239"/>
      <c r="F65" s="239"/>
      <c r="R65" s="144"/>
      <c r="S65" s="144"/>
      <c r="T65" s="144"/>
      <c r="U65" s="144"/>
      <c r="V65" s="144"/>
      <c r="W65" s="144"/>
      <c r="X65" s="144"/>
      <c r="Y65" s="144"/>
      <c r="Z65" s="144"/>
      <c r="AA65" s="144"/>
      <c r="AB65" s="144"/>
    </row>
    <row r="66" spans="1:28" x14ac:dyDescent="0.3">
      <c r="B66" s="237" t="s">
        <v>143</v>
      </c>
      <c r="R66" s="144"/>
      <c r="S66" s="144"/>
      <c r="T66" s="144"/>
      <c r="U66" s="144"/>
      <c r="V66" s="144"/>
      <c r="W66" s="144"/>
      <c r="X66" s="144"/>
      <c r="Y66" s="144"/>
      <c r="Z66" s="144"/>
      <c r="AA66" s="144"/>
      <c r="AB66" s="144"/>
    </row>
    <row r="67" spans="1:28" x14ac:dyDescent="0.3">
      <c r="R67" s="144"/>
      <c r="S67" s="144"/>
      <c r="T67" s="144"/>
      <c r="U67" s="144"/>
      <c r="V67" s="144"/>
      <c r="W67" s="144"/>
      <c r="X67" s="144"/>
      <c r="Y67" s="144"/>
      <c r="Z67" s="144"/>
      <c r="AA67" s="144"/>
      <c r="AB67" s="144"/>
    </row>
    <row r="68" spans="1:28" x14ac:dyDescent="0.3">
      <c r="R68" s="144"/>
      <c r="S68" s="144"/>
      <c r="T68" s="144"/>
      <c r="U68" s="144"/>
      <c r="V68" s="144"/>
      <c r="W68" s="144"/>
      <c r="X68" s="144"/>
      <c r="Y68" s="144"/>
      <c r="Z68" s="144"/>
      <c r="AA68" s="144"/>
      <c r="AB68" s="144"/>
    </row>
    <row r="69" spans="1:28" x14ac:dyDescent="0.3">
      <c r="R69" s="144"/>
      <c r="S69" s="144"/>
      <c r="T69" s="144"/>
      <c r="U69" s="144"/>
      <c r="V69" s="144"/>
      <c r="W69" s="144"/>
      <c r="X69" s="144"/>
      <c r="Y69" s="144"/>
      <c r="Z69" s="144"/>
      <c r="AA69" s="144"/>
      <c r="AB69" s="144"/>
    </row>
    <row r="70" spans="1:28" x14ac:dyDescent="0.3">
      <c r="R70" s="144"/>
      <c r="S70" s="144"/>
      <c r="T70" s="144"/>
      <c r="U70" s="144"/>
      <c r="V70" s="144"/>
      <c r="W70" s="144"/>
      <c r="X70" s="144"/>
      <c r="Y70" s="144"/>
      <c r="Z70" s="144"/>
      <c r="AA70" s="144"/>
      <c r="AB70" s="144"/>
    </row>
  </sheetData>
  <sheetProtection password="8E1A" sheet="1" selectLockedCells="1"/>
  <mergeCells count="86">
    <mergeCell ref="A63:B63"/>
    <mergeCell ref="A54:F55"/>
    <mergeCell ref="A57:F57"/>
    <mergeCell ref="A58:F58"/>
    <mergeCell ref="A59:F59"/>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A36:D36"/>
    <mergeCell ref="D16:F16"/>
    <mergeCell ref="A15:F15"/>
    <mergeCell ref="A23:D23"/>
    <mergeCell ref="A18:F18"/>
    <mergeCell ref="A27:D27"/>
    <mergeCell ref="A29:D29"/>
    <mergeCell ref="A28:D28"/>
    <mergeCell ref="A24:B24"/>
    <mergeCell ref="E19:F19"/>
    <mergeCell ref="R35:S35"/>
    <mergeCell ref="T35:U35"/>
    <mergeCell ref="R36:U36"/>
    <mergeCell ref="R39:U39"/>
    <mergeCell ref="C40:D40"/>
    <mergeCell ref="R37:U37"/>
    <mergeCell ref="B65:F65"/>
    <mergeCell ref="A30:F30"/>
    <mergeCell ref="A35:D35"/>
    <mergeCell ref="A34:F34"/>
    <mergeCell ref="A48:F48"/>
    <mergeCell ref="A51:F51"/>
    <mergeCell ref="A52:F52"/>
    <mergeCell ref="A53:F53"/>
    <mergeCell ref="A46:F46"/>
    <mergeCell ref="A39:D39"/>
    <mergeCell ref="A43:F43"/>
    <mergeCell ref="A49:F49"/>
    <mergeCell ref="A40:B40"/>
    <mergeCell ref="A44:F44"/>
    <mergeCell ref="A45:F45"/>
    <mergeCell ref="A60:F60"/>
  </mergeCells>
  <conditionalFormatting sqref="A20:F20 A19 C19">
    <cfRule type="expression" dxfId="87" priority="248">
      <formula>AND($C$16="",$C$19&gt;0,$E$19&gt;0)</formula>
    </cfRule>
  </conditionalFormatting>
  <conditionalFormatting sqref="H19:H21">
    <cfRule type="expression" dxfId="86" priority="245">
      <formula>$H$19&gt;0</formula>
    </cfRule>
  </conditionalFormatting>
  <conditionalFormatting sqref="G16">
    <cfRule type="expression" dxfId="85" priority="244">
      <formula>$G$16=""</formula>
    </cfRule>
  </conditionalFormatting>
  <conditionalFormatting sqref="G19:G21">
    <cfRule type="expression" dxfId="84" priority="243">
      <formula>$G$19=0</formula>
    </cfRule>
  </conditionalFormatting>
  <conditionalFormatting sqref="F20">
    <cfRule type="expression" dxfId="83" priority="242">
      <formula>$F$20=0</formula>
    </cfRule>
  </conditionalFormatting>
  <conditionalFormatting sqref="E20">
    <cfRule type="expression" dxfId="82" priority="241">
      <formula>$F$20=0</formula>
    </cfRule>
  </conditionalFormatting>
  <conditionalFormatting sqref="A17:F17 A20:F20 A19 C19">
    <cfRule type="expression" dxfId="81" priority="230">
      <formula>AND($C$16&gt;0,$C$19&gt;0,$E$19&gt;0)</formula>
    </cfRule>
  </conditionalFormatting>
  <conditionalFormatting sqref="F40 X40 Z40">
    <cfRule type="expression" dxfId="80" priority="221">
      <formula>$C$40="Karenztag grösser/gleich Ausfall"</formula>
    </cfRule>
    <cfRule type="containsErrors" dxfId="79" priority="222">
      <formula>ISERROR(F40)</formula>
    </cfRule>
    <cfRule type="expression" dxfId="78" priority="223">
      <formula>$F$29&lt;0.1</formula>
    </cfRule>
  </conditionalFormatting>
  <conditionalFormatting sqref="Z29">
    <cfRule type="containsErrors" dxfId="77" priority="185">
      <formula>ISERROR(Z29)</formula>
    </cfRule>
    <cfRule type="cellIs" dxfId="76" priority="186" operator="lessThan">
      <formula>0.1</formula>
    </cfRule>
    <cfRule type="expression" dxfId="75" priority="187">
      <formula>$F$28&gt;$F$27</formula>
    </cfRule>
  </conditionalFormatting>
  <conditionalFormatting sqref="F39">
    <cfRule type="containsErrors" dxfId="74" priority="124">
      <formula>ISERROR(F39)</formula>
    </cfRule>
  </conditionalFormatting>
  <conditionalFormatting sqref="C40:D40">
    <cfRule type="containsErrors" dxfId="73" priority="120">
      <formula>ISERROR(C40)</formula>
    </cfRule>
  </conditionalFormatting>
  <conditionalFormatting sqref="X29">
    <cfRule type="containsErrors" dxfId="72" priority="88">
      <formula>ISERROR(X29)</formula>
    </cfRule>
    <cfRule type="cellIs" dxfId="71" priority="89" operator="lessThan">
      <formula>0.1</formula>
    </cfRule>
    <cfRule type="expression" dxfId="70" priority="90">
      <formula>$F$28&gt;$F$27</formula>
    </cfRule>
  </conditionalFormatting>
  <conditionalFormatting sqref="V29">
    <cfRule type="containsErrors" dxfId="69" priority="85">
      <formula>ISERROR(V29)</formula>
    </cfRule>
    <cfRule type="cellIs" dxfId="68" priority="86" operator="lessThan">
      <formula>0.1</formula>
    </cfRule>
    <cfRule type="expression" dxfId="67" priority="87">
      <formula>$F$28&gt;$F$27</formula>
    </cfRule>
  </conditionalFormatting>
  <conditionalFormatting sqref="A16:B16">
    <cfRule type="expression" dxfId="66" priority="80">
      <formula>$C$16&gt;0</formula>
    </cfRule>
  </conditionalFormatting>
  <conditionalFormatting sqref="D16:F16">
    <cfRule type="expression" dxfId="65" priority="79">
      <formula>$C$16&gt;0</formula>
    </cfRule>
  </conditionalFormatting>
  <conditionalFormatting sqref="A16:B16 D16:F16">
    <cfRule type="expression" dxfId="64" priority="78">
      <formula>AND($C$16&gt;0,$C$19&gt;0,$E$19&gt;0)</formula>
    </cfRule>
  </conditionalFormatting>
  <conditionalFormatting sqref="C16">
    <cfRule type="expression" dxfId="63" priority="77">
      <formula>AND($C$16&gt;0,$C$19="",$E$19="")</formula>
    </cfRule>
  </conditionalFormatting>
  <conditionalFormatting sqref="C16">
    <cfRule type="expression" dxfId="62" priority="76">
      <formula>AND($C$16&gt;0,$C$19&gt;0,$E$19&gt;0)</formula>
    </cfRule>
  </conditionalFormatting>
  <conditionalFormatting sqref="A18:F18">
    <cfRule type="expression" dxfId="61" priority="75">
      <formula>AND($C$16="",$C$19&gt;0,$E$19&gt;0)</formula>
    </cfRule>
  </conditionalFormatting>
  <conditionalFormatting sqref="A18:F18">
    <cfRule type="expression" dxfId="60" priority="74">
      <formula>AND($C$16&gt;0,$C$19&gt;0,$E$19&gt;0)</formula>
    </cfRule>
  </conditionalFormatting>
  <conditionalFormatting sqref="B19">
    <cfRule type="expression" dxfId="59" priority="73">
      <formula>AND($C$16="",$C$19&gt;0,$E$19&gt;0)</formula>
    </cfRule>
  </conditionalFormatting>
  <conditionalFormatting sqref="B19">
    <cfRule type="expression" dxfId="58" priority="72">
      <formula>AND($C$16&gt;0,$C$19&gt;0,$E$19&gt;0)</formula>
    </cfRule>
  </conditionalFormatting>
  <conditionalFormatting sqref="D19">
    <cfRule type="expression" dxfId="57" priority="71">
      <formula>AND($C$16="",$C$19&gt;0,$E$19&gt;0)</formula>
    </cfRule>
  </conditionalFormatting>
  <conditionalFormatting sqref="D19">
    <cfRule type="expression" dxfId="56" priority="70">
      <formula>AND($C$16&gt;0,$C$19&gt;0,$E$19&gt;0)</formula>
    </cfRule>
  </conditionalFormatting>
  <conditionalFormatting sqref="D25:E25">
    <cfRule type="expression" dxfId="55" priority="68">
      <formula>AND($F$23="",$F$24="")</formula>
    </cfRule>
    <cfRule type="expression" dxfId="54" priority="69">
      <formula>OR($F$24&gt;$F$23,F25&lt;1,F25="")</formula>
    </cfRule>
  </conditionalFormatting>
  <conditionalFormatting sqref="F26">
    <cfRule type="expression" dxfId="53" priority="66">
      <formula>AND($F$23="",$F$24="")</formula>
    </cfRule>
    <cfRule type="expression" dxfId="52" priority="67">
      <formula>OR($F$24&gt;$F$23,H26&lt;1,H26="")</formula>
    </cfRule>
  </conditionalFormatting>
  <conditionalFormatting sqref="J25">
    <cfRule type="expression" dxfId="51" priority="61">
      <formula>$F$24&gt;$F$23</formula>
    </cfRule>
  </conditionalFormatting>
  <conditionalFormatting sqref="F36:F38">
    <cfRule type="containsErrors" dxfId="50" priority="59">
      <formula>ISERROR(F36)</formula>
    </cfRule>
  </conditionalFormatting>
  <conditionalFormatting sqref="A34">
    <cfRule type="expression" dxfId="49" priority="58">
      <formula>#REF!&gt;#REF!*12350</formula>
    </cfRule>
  </conditionalFormatting>
  <conditionalFormatting sqref="F33">
    <cfRule type="containsErrors" dxfId="48" priority="57">
      <formula>ISERROR(F33)</formula>
    </cfRule>
  </conditionalFormatting>
  <conditionalFormatting sqref="E19:F19">
    <cfRule type="expression" dxfId="47" priority="56">
      <formula>AND($C$16="",$C$19&gt;0,$E$19&gt;0)</formula>
    </cfRule>
  </conditionalFormatting>
  <conditionalFormatting sqref="E19:F19">
    <cfRule type="expression" dxfId="46" priority="55">
      <formula>AND($C$16&gt;0,$C$19&gt;0,$E$19&gt;0)</formula>
    </cfRule>
  </conditionalFormatting>
  <conditionalFormatting sqref="V33">
    <cfRule type="containsErrors" dxfId="45" priority="49">
      <formula>ISERROR(V33)</formula>
    </cfRule>
  </conditionalFormatting>
  <conditionalFormatting sqref="V40">
    <cfRule type="expression" dxfId="44" priority="46">
      <formula>$C$40="Karenztag grösser/gleich Ausfall"</formula>
    </cfRule>
    <cfRule type="containsErrors" dxfId="43" priority="47">
      <formula>ISERROR(V40)</formula>
    </cfRule>
    <cfRule type="expression" dxfId="42" priority="48">
      <formula>$F$29&lt;0.1</formula>
    </cfRule>
  </conditionalFormatting>
  <conditionalFormatting sqref="V39 X39 Z39">
    <cfRule type="containsErrors" dxfId="41" priority="43">
      <formula>ISERROR(V39)</formula>
    </cfRule>
  </conditionalFormatting>
  <conditionalFormatting sqref="X36 X38">
    <cfRule type="containsErrors" dxfId="40" priority="42">
      <formula>ISERROR(X36)</formula>
    </cfRule>
  </conditionalFormatting>
  <conditionalFormatting sqref="V36 V38 V37:Z37">
    <cfRule type="containsErrors" dxfId="39" priority="41">
      <formula>ISERROR(V36)</formula>
    </cfRule>
  </conditionalFormatting>
  <conditionalFormatting sqref="X33">
    <cfRule type="containsErrors" dxfId="38" priority="38">
      <formula>ISERROR(X33)</formula>
    </cfRule>
  </conditionalFormatting>
  <conditionalFormatting sqref="Z33">
    <cfRule type="containsErrors" dxfId="37" priority="37">
      <formula>ISERROR(Z33)</formula>
    </cfRule>
  </conditionalFormatting>
  <conditionalFormatting sqref="Z36 Z38">
    <cfRule type="containsErrors" dxfId="36" priority="36">
      <formula>ISERROR(Z36)</formula>
    </cfRule>
  </conditionalFormatting>
  <conditionalFormatting sqref="F25 F40">
    <cfRule type="expression" dxfId="35" priority="33">
      <formula>SUM($V$25,$X$25,$Z$25)&gt;$AB$24</formula>
    </cfRule>
  </conditionalFormatting>
  <conditionalFormatting sqref="F29">
    <cfRule type="containsErrors" dxfId="34" priority="30">
      <formula>ISERROR(F29)</formula>
    </cfRule>
    <cfRule type="cellIs" dxfId="33" priority="31" operator="lessThan">
      <formula>0.1</formula>
    </cfRule>
    <cfRule type="expression" dxfId="32" priority="32">
      <formula>$F$28&gt;$F$27</formula>
    </cfRule>
  </conditionalFormatting>
  <conditionalFormatting sqref="AB33">
    <cfRule type="containsErrors" dxfId="31" priority="22">
      <formula>ISERROR(AB33)</formula>
    </cfRule>
  </conditionalFormatting>
  <conditionalFormatting sqref="AB39">
    <cfRule type="containsErrors" dxfId="30" priority="21">
      <formula>ISERROR(AB39)</formula>
    </cfRule>
  </conditionalFormatting>
  <conditionalFormatting sqref="AB29">
    <cfRule type="containsErrors" dxfId="29" priority="18">
      <formula>ISERROR(AB29)</formula>
    </cfRule>
    <cfRule type="cellIs" dxfId="28" priority="19" operator="lessThan">
      <formula>0.1</formula>
    </cfRule>
    <cfRule type="expression" dxfId="27" priority="20">
      <formula>$F$28&gt;$F$27</formula>
    </cfRule>
  </conditionalFormatting>
  <conditionalFormatting sqref="AB36:AB38">
    <cfRule type="containsErrors" dxfId="26" priority="17">
      <formula>ISERROR(AB36)</formula>
    </cfRule>
  </conditionalFormatting>
  <conditionalFormatting sqref="AB25">
    <cfRule type="expression" dxfId="25" priority="16">
      <formula>SUM($V$25,$X$25,$Z$25)&gt;$AB$24</formula>
    </cfRule>
  </conditionalFormatting>
  <conditionalFormatting sqref="AB40">
    <cfRule type="expression" dxfId="24" priority="7">
      <formula>$C$40="Karenztag grösser/gleich Ausfall"</formula>
    </cfRule>
    <cfRule type="containsErrors" dxfId="23" priority="8">
      <formula>ISERROR(AB40)</formula>
    </cfRule>
    <cfRule type="expression" dxfId="22" priority="9">
      <formula>$F$29&lt;0.1</formula>
    </cfRule>
  </conditionalFormatting>
  <conditionalFormatting sqref="AB40">
    <cfRule type="expression" dxfId="21" priority="6">
      <formula>SUM($V$25,$X$25,$Z$25)&gt;$AB$24</formula>
    </cfRule>
  </conditionalFormatting>
  <conditionalFormatting sqref="AB40">
    <cfRule type="expression" dxfId="20" priority="5">
      <formula>ISTEXT(AB40)</formula>
    </cfRule>
  </conditionalFormatting>
  <conditionalFormatting sqref="J37:N37">
    <cfRule type="containsErrors" dxfId="19" priority="4">
      <formula>ISERROR(J37)</formula>
    </cfRule>
  </conditionalFormatting>
  <conditionalFormatting sqref="W38">
    <cfRule type="containsErrors" dxfId="18" priority="3">
      <formula>ISERROR(W38)</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4">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u mois de décembre, veuillez vérifier votre entrée." sqref="E19:F19">
      <formula1>44531</formula1>
      <formula2>44561</formula2>
    </dataValidation>
    <dataValidation type="list" allowBlank="1" showInputMessage="1" showErrorMessage="1" error="Veuillez sélectionner un mois dans la liste." prompt="Veuillez sélectionner un mois dans la liste." sqref="C16">
      <formula1>$H$11</formula1>
    </dataValidation>
    <dataValidation type="date" allowBlank="1" showInputMessage="1" showErrorMessage="1" error="La date se trouve en dehors du mois de décembre 2021, veuillez vérifier votre entrée." sqref="C19">
      <formula1>44531</formula1>
      <formula2>44561</formula2>
    </dataValidation>
  </dataValidations>
  <printOptions horizontalCentered="1"/>
  <pageMargins left="0.39370078740157483" right="0.39370078740157483" top="0.39370078740157483" bottom="0.31496062992125984" header="0.23622047244094491" footer="0.23622047244094491"/>
  <pageSetup paperSize="9" scale="75" fitToHeight="2" orientation="portrait" r:id="rId1"/>
  <headerFooter>
    <oddHeader xml:space="preserve">&amp;L&amp;10Assurance-chômage
</oddHeader>
    <oddFooter>&amp;LPage &amp;P / &amp;N&amp;RRHT-COVID-19 (V 04.01.2022)</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80"/>
  <sheetViews>
    <sheetView showGridLines="0" zoomScale="85" zoomScaleNormal="85" workbookViewId="0">
      <pane ySplit="7" topLeftCell="A8" activePane="bottomLeft" state="frozen"/>
      <selection pane="bottomLeft" activeCell="C8" sqref="C8"/>
    </sheetView>
  </sheetViews>
  <sheetFormatPr baseColWidth="10" defaultRowHeight="14" x14ac:dyDescent="0.3"/>
  <cols>
    <col min="1" max="1" width="21.5" customWidth="1"/>
    <col min="2" max="2" width="29.25" customWidth="1"/>
    <col min="3" max="3" width="15.33203125" customWidth="1"/>
    <col min="4" max="4" width="9.83203125" bestFit="1" customWidth="1"/>
    <col min="5" max="5" width="11.75" bestFit="1" customWidth="1"/>
    <col min="6" max="6" width="10.5" style="63"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5" t="s">
        <v>97</v>
      </c>
      <c r="B1" s="325"/>
      <c r="C1" s="325"/>
      <c r="D1" s="325"/>
      <c r="E1" s="325"/>
      <c r="F1" s="325"/>
      <c r="G1" s="325"/>
      <c r="H1" s="325"/>
      <c r="I1" s="325"/>
      <c r="J1" s="325"/>
      <c r="K1" s="325"/>
      <c r="L1" s="325"/>
      <c r="M1" s="325"/>
      <c r="N1" s="210" t="s">
        <v>93</v>
      </c>
      <c r="O1" s="210"/>
      <c r="P1" s="210"/>
      <c r="Q1" s="210"/>
      <c r="R1" s="210"/>
      <c r="S1" s="210"/>
      <c r="T1" s="210">
        <f>COUNT(T8:T70)</f>
        <v>63</v>
      </c>
    </row>
    <row r="2" spans="1:20" ht="72.75" customHeight="1" x14ac:dyDescent="0.3">
      <c r="A2" s="294" t="s">
        <v>122</v>
      </c>
      <c r="B2" s="294"/>
      <c r="C2" s="294"/>
      <c r="D2" s="294"/>
      <c r="E2" s="294"/>
      <c r="F2" s="294"/>
      <c r="G2" s="294"/>
      <c r="H2" s="294"/>
      <c r="I2" s="294"/>
      <c r="J2" s="294"/>
      <c r="K2" s="294"/>
      <c r="L2" s="294"/>
      <c r="M2" s="294"/>
    </row>
    <row r="3" spans="1:20" ht="16.899999999999999" customHeight="1" x14ac:dyDescent="0.3">
      <c r="A3" s="156" t="str">
        <f>'Demande-Décompte'!A10</f>
        <v>REE + Sct. No.</v>
      </c>
      <c r="B3" s="157">
        <f>'Demande-Décompte'!B10</f>
        <v>0</v>
      </c>
      <c r="C3" s="158" t="str">
        <f>'Demande-Décompte'!A4</f>
        <v>Entreprise</v>
      </c>
      <c r="D3" s="329">
        <f>'Demande-Décompte'!A5</f>
        <v>0</v>
      </c>
      <c r="E3" s="329"/>
      <c r="F3" s="329"/>
      <c r="G3" s="329"/>
      <c r="H3" s="329"/>
    </row>
    <row r="4" spans="1:20" ht="18" customHeight="1" x14ac:dyDescent="0.3">
      <c r="A4" s="64" t="s">
        <v>61</v>
      </c>
      <c r="B4" s="217">
        <f>IF(ISBLANK('Demande-Décompte'!C16),"",'Demande-Décompte'!C16)</f>
        <v>44531</v>
      </c>
      <c r="C4" s="164" t="s">
        <v>77</v>
      </c>
      <c r="D4" s="67">
        <f>NETWORKDAYS(B4,EDATE(B4,1)-1)</f>
        <v>23</v>
      </c>
      <c r="E4" s="63" t="s">
        <v>78</v>
      </c>
      <c r="F4" s="331" t="str">
        <f>IF(MAX(N75:T75)&gt;0,"S'il vous plaît vérifier vos informations","")</f>
        <v/>
      </c>
      <c r="G4" s="331"/>
      <c r="H4" s="331"/>
      <c r="I4" s="206"/>
    </row>
    <row r="5" spans="1:20" ht="18" customHeight="1" x14ac:dyDescent="0.3">
      <c r="A5" s="64" t="s">
        <v>62</v>
      </c>
      <c r="B5" s="162" t="str">
        <f>IF(ISBLANK('Demande-Décompte'!C19),"",'Demande-Décompte'!C19)</f>
        <v/>
      </c>
      <c r="C5" s="163" t="str">
        <f>IF(ISBLANK('Demande-Décompte'!E19),"",'Demande-Décompte'!E19)</f>
        <v/>
      </c>
      <c r="D5" s="67">
        <f>IF(AND(B5="",C5=""),+D4,NETWORKDAYS(B5,C5))</f>
        <v>23</v>
      </c>
      <c r="E5" s="330" t="s">
        <v>79</v>
      </c>
      <c r="F5" s="330"/>
      <c r="G5" s="330"/>
      <c r="H5" s="330"/>
    </row>
    <row r="6" spans="1:20" x14ac:dyDescent="0.3">
      <c r="C6" s="328" t="str">
        <f>IF(B4="","Veuillez sélectionner le mois dans la feuille «Demande-Décompte»","")</f>
        <v/>
      </c>
      <c r="D6" s="328"/>
      <c r="E6" s="328"/>
      <c r="F6" s="328"/>
      <c r="G6" s="328"/>
    </row>
    <row r="7" spans="1:20" s="183" customFormat="1" ht="102" customHeight="1" x14ac:dyDescent="0.25">
      <c r="A7" s="153" t="s">
        <v>95</v>
      </c>
      <c r="B7" s="226" t="s">
        <v>111</v>
      </c>
      <c r="C7" s="196" t="s">
        <v>99</v>
      </c>
      <c r="D7" s="191" t="s">
        <v>107</v>
      </c>
      <c r="E7" s="225" t="s">
        <v>108</v>
      </c>
      <c r="F7" s="197" t="s">
        <v>101</v>
      </c>
      <c r="G7" s="192" t="s">
        <v>65</v>
      </c>
      <c r="H7" s="191" t="s">
        <v>66</v>
      </c>
      <c r="I7" s="191" t="s">
        <v>67</v>
      </c>
      <c r="J7" s="192" t="s">
        <v>85</v>
      </c>
      <c r="K7" s="192" t="s">
        <v>112</v>
      </c>
      <c r="L7" s="192" t="s">
        <v>69</v>
      </c>
      <c r="M7" s="198" t="s">
        <v>102</v>
      </c>
      <c r="N7" s="181" t="s">
        <v>70</v>
      </c>
      <c r="O7" s="182" t="s">
        <v>105</v>
      </c>
      <c r="P7" s="181" t="s">
        <v>106</v>
      </c>
      <c r="Q7" s="181" t="s">
        <v>72</v>
      </c>
      <c r="R7" s="208" t="s">
        <v>110</v>
      </c>
      <c r="S7" s="208" t="s">
        <v>104</v>
      </c>
      <c r="T7" s="102" t="s">
        <v>124</v>
      </c>
    </row>
    <row r="8" spans="1:20" ht="15" customHeight="1" x14ac:dyDescent="0.35">
      <c r="A8" s="184" t="s">
        <v>121</v>
      </c>
      <c r="B8" s="216" t="s">
        <v>133</v>
      </c>
      <c r="C8" s="146"/>
      <c r="D8" s="222"/>
      <c r="E8" s="147"/>
      <c r="F8" s="148"/>
      <c r="G8" s="223"/>
      <c r="H8" s="146"/>
      <c r="I8" s="146"/>
      <c r="J8" s="149" t="str">
        <f>IF(C8*D8&gt;0,+C8/D8,"")</f>
        <v/>
      </c>
      <c r="K8" s="214" t="str">
        <f>IF(C8*D8&gt;0,+E8*G8,"")</f>
        <v/>
      </c>
      <c r="L8" s="151" t="str">
        <f>IF(AND(C8&gt;0,T8=0),IF(D8&gt;0,+E8*C8,C8)/$D$4*$D$5,"")</f>
        <v/>
      </c>
      <c r="M8" s="152" t="str">
        <f t="shared" ref="M8:M39" si="0">IF(C8&gt;0,IF(J8&lt;=3470,$A$72,IF(J8&gt;=4340,$A$74,$A$73)),"")</f>
        <v/>
      </c>
      <c r="N8" s="75">
        <f>IF(C8*E8=0,0,IF(C8/E8&gt;12350,1,0))</f>
        <v>0</v>
      </c>
      <c r="O8" s="74">
        <f>IF(F8&gt;E8,1,0)</f>
        <v>0</v>
      </c>
      <c r="P8" s="74">
        <f t="shared" ref="P8:P39" si="1">IF(AND(M8=$A$73,ISBLANK(G8)),1,0)</f>
        <v>0</v>
      </c>
      <c r="Q8" s="75">
        <f>IF(AND(C8&gt;0,H8&lt;&gt;""),IF(OR(H8="",I8&gt;H8),1,0),0)</f>
        <v>0</v>
      </c>
      <c r="R8" s="75">
        <f>IF(AND(F8&lt;1,I8&gt;0),1,0)</f>
        <v>0</v>
      </c>
      <c r="S8" s="219">
        <f>IF(AND(ISBLANK(A8),ISBLANK(C8),ISBLANK(D8),ISBLANK(E8),ISBLANK(F8),ISBLANK(G8),ISBLANK(I8)),0,IF(ISBLANK(B8),1,0))</f>
        <v>0</v>
      </c>
      <c r="T8" s="75">
        <f>IF(D8&gt;1,1,0)</f>
        <v>0</v>
      </c>
    </row>
    <row r="9" spans="1:20" ht="14.5" x14ac:dyDescent="0.35">
      <c r="A9" s="89"/>
      <c r="B9" s="89"/>
      <c r="C9" s="90"/>
      <c r="D9" s="209"/>
      <c r="E9" s="136"/>
      <c r="F9" s="137"/>
      <c r="G9" s="213"/>
      <c r="H9" s="69" t="str">
        <f t="shared" ref="H9:H12" si="2">IF($B$4="","",IF(T9&lt;&gt;0,"",IF(C9*D9&gt;0,ROUND(+G9/5*$D$5*E9*D9,2),"")))</f>
        <v/>
      </c>
      <c r="I9" s="90"/>
      <c r="J9" s="68" t="str">
        <f t="shared" ref="J9:J12" si="3">IF(C9*D9&gt;0,+C9/D9,"")</f>
        <v/>
      </c>
      <c r="K9" s="215" t="str">
        <f t="shared" ref="K9:K12" si="4">IF(C9*D9&gt;0,+E9*G9,"")</f>
        <v/>
      </c>
      <c r="L9" s="151" t="str">
        <f t="shared" ref="L9:L12" si="5">IF(AND(C9&gt;0,T9=0),IF(D9&gt;0,+E9*C9,C9)/$D$4*$D$5,"")</f>
        <v/>
      </c>
      <c r="M9" s="75" t="str">
        <f t="shared" si="0"/>
        <v/>
      </c>
      <c r="N9" s="75">
        <f>IF(C9=0,0,IF(C9&gt;12350,1,0))</f>
        <v>0</v>
      </c>
      <c r="O9" s="74">
        <f t="shared" ref="O9" si="6">IF(F9&gt;E9,1,0)</f>
        <v>0</v>
      </c>
      <c r="P9" s="74">
        <f t="shared" si="1"/>
        <v>0</v>
      </c>
      <c r="Q9" s="75">
        <f t="shared" ref="Q9:Q70" si="7">IF(AND(C9&gt;0,H9&lt;&gt;""),IF(OR(H9="",I9&gt;H9),1,0),0)</f>
        <v>0</v>
      </c>
      <c r="R9" s="75">
        <f t="shared" ref="R9" si="8">IF(AND(F9&lt;1,I9&gt;0),1,0)</f>
        <v>0</v>
      </c>
      <c r="S9" s="219">
        <f t="shared" ref="S9" si="9">IF(AND(ISBLANK(A9),ISBLANK(C9),ISBLANK(D9),ISBLANK(E9),ISBLANK(F9),ISBLANK(G9),ISBLANK(I9)),0,IF(ISBLANK(B9),1,0))</f>
        <v>0</v>
      </c>
      <c r="T9" s="75">
        <f t="shared" ref="T9:T70" si="10">IF(D9&gt;1,1,0)</f>
        <v>0</v>
      </c>
    </row>
    <row r="10" spans="1:20" ht="14.5" x14ac:dyDescent="0.35">
      <c r="A10" s="89"/>
      <c r="B10" s="89"/>
      <c r="C10" s="90"/>
      <c r="D10" s="209"/>
      <c r="E10" s="136"/>
      <c r="F10" s="137"/>
      <c r="G10" s="213"/>
      <c r="H10" s="69" t="str">
        <f t="shared" si="2"/>
        <v/>
      </c>
      <c r="I10" s="90"/>
      <c r="J10" s="68" t="str">
        <f t="shared" si="3"/>
        <v/>
      </c>
      <c r="K10" s="215" t="str">
        <f t="shared" si="4"/>
        <v/>
      </c>
      <c r="L10" s="151" t="str">
        <f t="shared" si="5"/>
        <v/>
      </c>
      <c r="M10" s="75" t="str">
        <f t="shared" si="0"/>
        <v/>
      </c>
      <c r="N10" s="75">
        <f t="shared" ref="N10:N70" si="11">IF(C10=0,0,IF(C10&gt;12350,1,0))</f>
        <v>0</v>
      </c>
      <c r="O10" s="74">
        <f t="shared" ref="O10:O55" si="12">IF(F10&gt;E10,1,0)</f>
        <v>0</v>
      </c>
      <c r="P10" s="74">
        <f t="shared" si="1"/>
        <v>0</v>
      </c>
      <c r="Q10" s="75">
        <f t="shared" si="7"/>
        <v>0</v>
      </c>
      <c r="R10" s="75">
        <f t="shared" ref="R10:R55" si="13">IF(AND(F10&lt;1,I10&gt;0),1,0)</f>
        <v>0</v>
      </c>
      <c r="S10" s="219">
        <f t="shared" ref="S10:S55" si="14">IF(AND(ISBLANK(A10),ISBLANK(C10),ISBLANK(D10),ISBLANK(E10),ISBLANK(F10),ISBLANK(G10),ISBLANK(I10)),0,IF(ISBLANK(B10),1,0))</f>
        <v>0</v>
      </c>
      <c r="T10" s="75">
        <f t="shared" si="10"/>
        <v>0</v>
      </c>
    </row>
    <row r="11" spans="1:20" ht="14.5" x14ac:dyDescent="0.35">
      <c r="A11" s="89"/>
      <c r="B11" s="89"/>
      <c r="C11" s="90"/>
      <c r="D11" s="209"/>
      <c r="E11" s="136"/>
      <c r="F11" s="137"/>
      <c r="G11" s="213"/>
      <c r="H11" s="69" t="str">
        <f t="shared" si="2"/>
        <v/>
      </c>
      <c r="I11" s="90"/>
      <c r="J11" s="68" t="str">
        <f t="shared" si="3"/>
        <v/>
      </c>
      <c r="K11" s="215" t="str">
        <f t="shared" si="4"/>
        <v/>
      </c>
      <c r="L11" s="151" t="str">
        <f t="shared" si="5"/>
        <v/>
      </c>
      <c r="M11" s="75" t="str">
        <f t="shared" si="0"/>
        <v/>
      </c>
      <c r="N11" s="75">
        <f t="shared" si="11"/>
        <v>0</v>
      </c>
      <c r="O11" s="74">
        <f t="shared" si="12"/>
        <v>0</v>
      </c>
      <c r="P11" s="74">
        <f t="shared" si="1"/>
        <v>0</v>
      </c>
      <c r="Q11" s="75">
        <f t="shared" si="7"/>
        <v>0</v>
      </c>
      <c r="R11" s="75">
        <f t="shared" si="13"/>
        <v>0</v>
      </c>
      <c r="S11" s="219">
        <f t="shared" si="14"/>
        <v>0</v>
      </c>
      <c r="T11" s="75">
        <f t="shared" si="10"/>
        <v>0</v>
      </c>
    </row>
    <row r="12" spans="1:20" ht="14.5" x14ac:dyDescent="0.35">
      <c r="A12" s="89"/>
      <c r="B12" s="89"/>
      <c r="C12" s="90"/>
      <c r="D12" s="209"/>
      <c r="E12" s="136"/>
      <c r="F12" s="137"/>
      <c r="G12" s="213"/>
      <c r="H12" s="69" t="str">
        <f t="shared" si="2"/>
        <v/>
      </c>
      <c r="I12" s="90"/>
      <c r="J12" s="68" t="str">
        <f t="shared" si="3"/>
        <v/>
      </c>
      <c r="K12" s="215" t="str">
        <f t="shared" si="4"/>
        <v/>
      </c>
      <c r="L12" s="151" t="str">
        <f t="shared" si="5"/>
        <v/>
      </c>
      <c r="M12" s="75" t="str">
        <f t="shared" si="0"/>
        <v/>
      </c>
      <c r="N12" s="75">
        <f t="shared" si="11"/>
        <v>0</v>
      </c>
      <c r="O12" s="74">
        <f t="shared" si="12"/>
        <v>0</v>
      </c>
      <c r="P12" s="74">
        <f t="shared" si="1"/>
        <v>0</v>
      </c>
      <c r="Q12" s="75">
        <f t="shared" si="7"/>
        <v>0</v>
      </c>
      <c r="R12" s="75">
        <f t="shared" si="13"/>
        <v>0</v>
      </c>
      <c r="S12" s="219">
        <f t="shared" si="14"/>
        <v>0</v>
      </c>
      <c r="T12" s="75">
        <f t="shared" si="10"/>
        <v>0</v>
      </c>
    </row>
    <row r="13" spans="1:20" ht="14.5" x14ac:dyDescent="0.35">
      <c r="A13" s="89"/>
      <c r="B13" s="89"/>
      <c r="C13" s="90"/>
      <c r="D13" s="209"/>
      <c r="E13" s="136"/>
      <c r="F13" s="137"/>
      <c r="G13" s="213"/>
      <c r="H13" s="69" t="str">
        <f t="shared" ref="H13:H70" si="15">IF($B$4="","",IF(T13&lt;&gt;0,"",IF(C13*D13&gt;0,ROUND(+G13/5*$D$5*E13*D13,2),"")))</f>
        <v/>
      </c>
      <c r="I13" s="90"/>
      <c r="J13" s="68" t="str">
        <f t="shared" ref="J13:J55" si="16">IF(C13*D13&gt;0,+C13/D13,"")</f>
        <v/>
      </c>
      <c r="K13" s="215" t="str">
        <f t="shared" ref="K13:K55" si="17">IF(C13*D13&gt;0,+E13*G13,"")</f>
        <v/>
      </c>
      <c r="L13" s="151" t="str">
        <f t="shared" ref="L13:L70" si="18">IF(AND(C13&gt;0,T13=0),IF(D13&gt;0,+E13*C13,C13)/$D$4*$D$5,"")</f>
        <v/>
      </c>
      <c r="M13" s="75" t="str">
        <f t="shared" si="0"/>
        <v/>
      </c>
      <c r="N13" s="75">
        <f t="shared" si="11"/>
        <v>0</v>
      </c>
      <c r="O13" s="74">
        <f t="shared" si="12"/>
        <v>0</v>
      </c>
      <c r="P13" s="74">
        <f t="shared" si="1"/>
        <v>0</v>
      </c>
      <c r="Q13" s="75">
        <f t="shared" si="7"/>
        <v>0</v>
      </c>
      <c r="R13" s="75">
        <f t="shared" si="13"/>
        <v>0</v>
      </c>
      <c r="S13" s="219">
        <f t="shared" si="14"/>
        <v>0</v>
      </c>
      <c r="T13" s="75">
        <f t="shared" si="10"/>
        <v>0</v>
      </c>
    </row>
    <row r="14" spans="1:20" ht="14.5" x14ac:dyDescent="0.35">
      <c r="A14" s="89"/>
      <c r="B14" s="89"/>
      <c r="C14" s="90"/>
      <c r="D14" s="209"/>
      <c r="E14" s="136"/>
      <c r="F14" s="137"/>
      <c r="G14" s="213"/>
      <c r="H14" s="69" t="str">
        <f t="shared" si="15"/>
        <v/>
      </c>
      <c r="I14" s="90"/>
      <c r="J14" s="68" t="str">
        <f t="shared" si="16"/>
        <v/>
      </c>
      <c r="K14" s="215" t="str">
        <f t="shared" si="17"/>
        <v/>
      </c>
      <c r="L14" s="151" t="str">
        <f t="shared" si="18"/>
        <v/>
      </c>
      <c r="M14" s="75" t="str">
        <f t="shared" si="0"/>
        <v/>
      </c>
      <c r="N14" s="75">
        <f t="shared" si="11"/>
        <v>0</v>
      </c>
      <c r="O14" s="74">
        <f t="shared" si="12"/>
        <v>0</v>
      </c>
      <c r="P14" s="74">
        <f t="shared" si="1"/>
        <v>0</v>
      </c>
      <c r="Q14" s="75">
        <f t="shared" si="7"/>
        <v>0</v>
      </c>
      <c r="R14" s="75">
        <f t="shared" si="13"/>
        <v>0</v>
      </c>
      <c r="S14" s="219">
        <f t="shared" si="14"/>
        <v>0</v>
      </c>
      <c r="T14" s="75">
        <f t="shared" si="10"/>
        <v>0</v>
      </c>
    </row>
    <row r="15" spans="1:20" ht="14.5" x14ac:dyDescent="0.35">
      <c r="A15" s="89"/>
      <c r="B15" s="89"/>
      <c r="C15" s="90"/>
      <c r="D15" s="209"/>
      <c r="E15" s="136"/>
      <c r="F15" s="137"/>
      <c r="G15" s="213"/>
      <c r="H15" s="69" t="str">
        <f t="shared" si="15"/>
        <v/>
      </c>
      <c r="I15" s="90"/>
      <c r="J15" s="68" t="str">
        <f t="shared" si="16"/>
        <v/>
      </c>
      <c r="K15" s="215" t="str">
        <f t="shared" si="17"/>
        <v/>
      </c>
      <c r="L15" s="151" t="str">
        <f t="shared" si="18"/>
        <v/>
      </c>
      <c r="M15" s="75" t="str">
        <f t="shared" si="0"/>
        <v/>
      </c>
      <c r="N15" s="75">
        <f t="shared" si="11"/>
        <v>0</v>
      </c>
      <c r="O15" s="74">
        <f t="shared" si="12"/>
        <v>0</v>
      </c>
      <c r="P15" s="74">
        <f t="shared" si="1"/>
        <v>0</v>
      </c>
      <c r="Q15" s="75">
        <f t="shared" si="7"/>
        <v>0</v>
      </c>
      <c r="R15" s="75">
        <f t="shared" si="13"/>
        <v>0</v>
      </c>
      <c r="S15" s="219">
        <f t="shared" si="14"/>
        <v>0</v>
      </c>
      <c r="T15" s="75">
        <f t="shared" si="10"/>
        <v>0</v>
      </c>
    </row>
    <row r="16" spans="1:20" ht="14.5" x14ac:dyDescent="0.35">
      <c r="A16" s="89"/>
      <c r="B16" s="89"/>
      <c r="C16" s="90"/>
      <c r="D16" s="209"/>
      <c r="E16" s="136"/>
      <c r="F16" s="137"/>
      <c r="G16" s="213"/>
      <c r="H16" s="69" t="str">
        <f t="shared" si="15"/>
        <v/>
      </c>
      <c r="I16" s="90"/>
      <c r="J16" s="68" t="str">
        <f t="shared" si="16"/>
        <v/>
      </c>
      <c r="K16" s="215" t="str">
        <f t="shared" si="17"/>
        <v/>
      </c>
      <c r="L16" s="151" t="str">
        <f t="shared" si="18"/>
        <v/>
      </c>
      <c r="M16" s="75" t="str">
        <f t="shared" si="0"/>
        <v/>
      </c>
      <c r="N16" s="75">
        <f t="shared" si="11"/>
        <v>0</v>
      </c>
      <c r="O16" s="74">
        <f t="shared" si="12"/>
        <v>0</v>
      </c>
      <c r="P16" s="74">
        <f t="shared" si="1"/>
        <v>0</v>
      </c>
      <c r="Q16" s="75">
        <f t="shared" si="7"/>
        <v>0</v>
      </c>
      <c r="R16" s="75">
        <f t="shared" si="13"/>
        <v>0</v>
      </c>
      <c r="S16" s="219">
        <f t="shared" si="14"/>
        <v>0</v>
      </c>
      <c r="T16" s="75">
        <f t="shared" si="10"/>
        <v>0</v>
      </c>
    </row>
    <row r="17" spans="1:20" ht="14.5" x14ac:dyDescent="0.35">
      <c r="A17" s="89"/>
      <c r="B17" s="89"/>
      <c r="C17" s="90"/>
      <c r="D17" s="209"/>
      <c r="E17" s="136"/>
      <c r="F17" s="137"/>
      <c r="G17" s="213"/>
      <c r="H17" s="69" t="str">
        <f t="shared" si="15"/>
        <v/>
      </c>
      <c r="I17" s="90"/>
      <c r="J17" s="68" t="str">
        <f t="shared" si="16"/>
        <v/>
      </c>
      <c r="K17" s="215" t="str">
        <f t="shared" si="17"/>
        <v/>
      </c>
      <c r="L17" s="151" t="str">
        <f t="shared" si="18"/>
        <v/>
      </c>
      <c r="M17" s="75" t="str">
        <f t="shared" si="0"/>
        <v/>
      </c>
      <c r="N17" s="75">
        <f t="shared" si="11"/>
        <v>0</v>
      </c>
      <c r="O17" s="74">
        <f t="shared" si="12"/>
        <v>0</v>
      </c>
      <c r="P17" s="74">
        <f t="shared" si="1"/>
        <v>0</v>
      </c>
      <c r="Q17" s="75">
        <f t="shared" si="7"/>
        <v>0</v>
      </c>
      <c r="R17" s="75">
        <f t="shared" si="13"/>
        <v>0</v>
      </c>
      <c r="S17" s="219">
        <f t="shared" si="14"/>
        <v>0</v>
      </c>
      <c r="T17" s="75">
        <f t="shared" si="10"/>
        <v>0</v>
      </c>
    </row>
    <row r="18" spans="1:20" ht="14.5" x14ac:dyDescent="0.35">
      <c r="A18" s="89"/>
      <c r="B18" s="89"/>
      <c r="C18" s="90"/>
      <c r="D18" s="209"/>
      <c r="E18" s="136"/>
      <c r="F18" s="137"/>
      <c r="G18" s="213"/>
      <c r="H18" s="69" t="str">
        <f t="shared" si="15"/>
        <v/>
      </c>
      <c r="I18" s="90"/>
      <c r="J18" s="68" t="str">
        <f t="shared" si="16"/>
        <v/>
      </c>
      <c r="K18" s="215" t="str">
        <f t="shared" si="17"/>
        <v/>
      </c>
      <c r="L18" s="151" t="str">
        <f t="shared" si="18"/>
        <v/>
      </c>
      <c r="M18" s="75" t="str">
        <f t="shared" si="0"/>
        <v/>
      </c>
      <c r="N18" s="75">
        <f t="shared" si="11"/>
        <v>0</v>
      </c>
      <c r="O18" s="74">
        <f t="shared" si="12"/>
        <v>0</v>
      </c>
      <c r="P18" s="74">
        <f t="shared" si="1"/>
        <v>0</v>
      </c>
      <c r="Q18" s="75">
        <f t="shared" si="7"/>
        <v>0</v>
      </c>
      <c r="R18" s="75">
        <f t="shared" si="13"/>
        <v>0</v>
      </c>
      <c r="S18" s="219">
        <f t="shared" si="14"/>
        <v>0</v>
      </c>
      <c r="T18" s="75">
        <f t="shared" si="10"/>
        <v>0</v>
      </c>
    </row>
    <row r="19" spans="1:20" ht="14.5" x14ac:dyDescent="0.35">
      <c r="A19" s="89"/>
      <c r="B19" s="89"/>
      <c r="C19" s="90"/>
      <c r="D19" s="209"/>
      <c r="E19" s="136"/>
      <c r="F19" s="137"/>
      <c r="G19" s="213"/>
      <c r="H19" s="69" t="str">
        <f t="shared" si="15"/>
        <v/>
      </c>
      <c r="I19" s="90"/>
      <c r="J19" s="68" t="str">
        <f t="shared" si="16"/>
        <v/>
      </c>
      <c r="K19" s="215" t="str">
        <f t="shared" si="17"/>
        <v/>
      </c>
      <c r="L19" s="151" t="str">
        <f t="shared" si="18"/>
        <v/>
      </c>
      <c r="M19" s="75" t="str">
        <f t="shared" si="0"/>
        <v/>
      </c>
      <c r="N19" s="75">
        <f t="shared" si="11"/>
        <v>0</v>
      </c>
      <c r="O19" s="74">
        <f t="shared" si="12"/>
        <v>0</v>
      </c>
      <c r="P19" s="74">
        <f t="shared" si="1"/>
        <v>0</v>
      </c>
      <c r="Q19" s="75">
        <f t="shared" si="7"/>
        <v>0</v>
      </c>
      <c r="R19" s="75">
        <f t="shared" si="13"/>
        <v>0</v>
      </c>
      <c r="S19" s="219">
        <f t="shared" si="14"/>
        <v>0</v>
      </c>
      <c r="T19" s="75">
        <f t="shared" si="10"/>
        <v>0</v>
      </c>
    </row>
    <row r="20" spans="1:20" ht="14.5" x14ac:dyDescent="0.35">
      <c r="A20" s="89"/>
      <c r="B20" s="89"/>
      <c r="C20" s="90"/>
      <c r="D20" s="209"/>
      <c r="E20" s="136"/>
      <c r="F20" s="137"/>
      <c r="G20" s="213"/>
      <c r="H20" s="69" t="str">
        <f t="shared" si="15"/>
        <v/>
      </c>
      <c r="I20" s="90"/>
      <c r="J20" s="68" t="str">
        <f t="shared" si="16"/>
        <v/>
      </c>
      <c r="K20" s="215" t="str">
        <f t="shared" si="17"/>
        <v/>
      </c>
      <c r="L20" s="151" t="str">
        <f t="shared" si="18"/>
        <v/>
      </c>
      <c r="M20" s="75" t="str">
        <f t="shared" si="0"/>
        <v/>
      </c>
      <c r="N20" s="75">
        <f t="shared" si="11"/>
        <v>0</v>
      </c>
      <c r="O20" s="74">
        <f t="shared" si="12"/>
        <v>0</v>
      </c>
      <c r="P20" s="74">
        <f t="shared" si="1"/>
        <v>0</v>
      </c>
      <c r="Q20" s="75">
        <f t="shared" si="7"/>
        <v>0</v>
      </c>
      <c r="R20" s="75">
        <f t="shared" si="13"/>
        <v>0</v>
      </c>
      <c r="S20" s="219">
        <f t="shared" si="14"/>
        <v>0</v>
      </c>
      <c r="T20" s="75">
        <f t="shared" si="10"/>
        <v>0</v>
      </c>
    </row>
    <row r="21" spans="1:20" ht="14.5" x14ac:dyDescent="0.35">
      <c r="A21" s="89"/>
      <c r="B21" s="89"/>
      <c r="C21" s="90"/>
      <c r="D21" s="209"/>
      <c r="E21" s="136"/>
      <c r="F21" s="137"/>
      <c r="G21" s="213"/>
      <c r="H21" s="69" t="str">
        <f t="shared" si="15"/>
        <v/>
      </c>
      <c r="I21" s="90"/>
      <c r="J21" s="68" t="str">
        <f t="shared" si="16"/>
        <v/>
      </c>
      <c r="K21" s="215" t="str">
        <f t="shared" si="17"/>
        <v/>
      </c>
      <c r="L21" s="151" t="str">
        <f t="shared" si="18"/>
        <v/>
      </c>
      <c r="M21" s="75" t="str">
        <f t="shared" si="0"/>
        <v/>
      </c>
      <c r="N21" s="75">
        <f t="shared" si="11"/>
        <v>0</v>
      </c>
      <c r="O21" s="74">
        <f t="shared" si="12"/>
        <v>0</v>
      </c>
      <c r="P21" s="74">
        <f t="shared" si="1"/>
        <v>0</v>
      </c>
      <c r="Q21" s="75">
        <f t="shared" si="7"/>
        <v>0</v>
      </c>
      <c r="R21" s="75">
        <f t="shared" si="13"/>
        <v>0</v>
      </c>
      <c r="S21" s="219">
        <f t="shared" si="14"/>
        <v>0</v>
      </c>
      <c r="T21" s="75">
        <f t="shared" si="10"/>
        <v>0</v>
      </c>
    </row>
    <row r="22" spans="1:20" ht="14.5" x14ac:dyDescent="0.35">
      <c r="A22" s="89"/>
      <c r="B22" s="89"/>
      <c r="C22" s="90"/>
      <c r="D22" s="209"/>
      <c r="E22" s="136"/>
      <c r="F22" s="137"/>
      <c r="G22" s="213"/>
      <c r="H22" s="69" t="str">
        <f t="shared" si="15"/>
        <v/>
      </c>
      <c r="I22" s="90"/>
      <c r="J22" s="68" t="str">
        <f t="shared" si="16"/>
        <v/>
      </c>
      <c r="K22" s="215" t="str">
        <f t="shared" si="17"/>
        <v/>
      </c>
      <c r="L22" s="151" t="str">
        <f t="shared" si="18"/>
        <v/>
      </c>
      <c r="M22" s="75" t="str">
        <f t="shared" si="0"/>
        <v/>
      </c>
      <c r="N22" s="75">
        <f t="shared" si="11"/>
        <v>0</v>
      </c>
      <c r="O22" s="74">
        <f t="shared" si="12"/>
        <v>0</v>
      </c>
      <c r="P22" s="74">
        <f t="shared" si="1"/>
        <v>0</v>
      </c>
      <c r="Q22" s="75">
        <f t="shared" si="7"/>
        <v>0</v>
      </c>
      <c r="R22" s="75">
        <f t="shared" si="13"/>
        <v>0</v>
      </c>
      <c r="S22" s="219">
        <f t="shared" si="14"/>
        <v>0</v>
      </c>
      <c r="T22" s="75">
        <f t="shared" si="10"/>
        <v>0</v>
      </c>
    </row>
    <row r="23" spans="1:20" ht="14.5" x14ac:dyDescent="0.35">
      <c r="A23" s="89"/>
      <c r="B23" s="89"/>
      <c r="C23" s="90"/>
      <c r="D23" s="209"/>
      <c r="E23" s="136"/>
      <c r="F23" s="137"/>
      <c r="G23" s="213"/>
      <c r="H23" s="69" t="str">
        <f t="shared" si="15"/>
        <v/>
      </c>
      <c r="I23" s="90"/>
      <c r="J23" s="68" t="str">
        <f t="shared" si="16"/>
        <v/>
      </c>
      <c r="K23" s="215" t="str">
        <f t="shared" si="17"/>
        <v/>
      </c>
      <c r="L23" s="151" t="str">
        <f t="shared" si="18"/>
        <v/>
      </c>
      <c r="M23" s="75" t="str">
        <f t="shared" si="0"/>
        <v/>
      </c>
      <c r="N23" s="75">
        <f t="shared" si="11"/>
        <v>0</v>
      </c>
      <c r="O23" s="74">
        <f t="shared" si="12"/>
        <v>0</v>
      </c>
      <c r="P23" s="74">
        <f t="shared" si="1"/>
        <v>0</v>
      </c>
      <c r="Q23" s="75">
        <f t="shared" si="7"/>
        <v>0</v>
      </c>
      <c r="R23" s="75">
        <f t="shared" si="13"/>
        <v>0</v>
      </c>
      <c r="S23" s="219">
        <f t="shared" si="14"/>
        <v>0</v>
      </c>
      <c r="T23" s="75">
        <f t="shared" si="10"/>
        <v>0</v>
      </c>
    </row>
    <row r="24" spans="1:20" ht="14.5" x14ac:dyDescent="0.35">
      <c r="A24" s="89"/>
      <c r="B24" s="89"/>
      <c r="C24" s="90"/>
      <c r="D24" s="209"/>
      <c r="E24" s="136"/>
      <c r="F24" s="137"/>
      <c r="G24" s="213"/>
      <c r="H24" s="69" t="str">
        <f t="shared" si="15"/>
        <v/>
      </c>
      <c r="I24" s="90"/>
      <c r="J24" s="68" t="str">
        <f t="shared" si="16"/>
        <v/>
      </c>
      <c r="K24" s="215" t="str">
        <f t="shared" si="17"/>
        <v/>
      </c>
      <c r="L24" s="151" t="str">
        <f t="shared" si="18"/>
        <v/>
      </c>
      <c r="M24" s="75" t="str">
        <f t="shared" si="0"/>
        <v/>
      </c>
      <c r="N24" s="75">
        <f t="shared" si="11"/>
        <v>0</v>
      </c>
      <c r="O24" s="74">
        <f t="shared" si="12"/>
        <v>0</v>
      </c>
      <c r="P24" s="74">
        <f t="shared" si="1"/>
        <v>0</v>
      </c>
      <c r="Q24" s="75">
        <f t="shared" si="7"/>
        <v>0</v>
      </c>
      <c r="R24" s="75">
        <f t="shared" si="13"/>
        <v>0</v>
      </c>
      <c r="S24" s="219">
        <f t="shared" si="14"/>
        <v>0</v>
      </c>
      <c r="T24" s="75">
        <f t="shared" si="10"/>
        <v>0</v>
      </c>
    </row>
    <row r="25" spans="1:20" ht="14.5" x14ac:dyDescent="0.35">
      <c r="A25" s="89"/>
      <c r="B25" s="89"/>
      <c r="C25" s="90"/>
      <c r="D25" s="209"/>
      <c r="E25" s="136"/>
      <c r="F25" s="137"/>
      <c r="G25" s="213"/>
      <c r="H25" s="69" t="str">
        <f t="shared" si="15"/>
        <v/>
      </c>
      <c r="I25" s="90"/>
      <c r="J25" s="68" t="str">
        <f t="shared" si="16"/>
        <v/>
      </c>
      <c r="K25" s="215" t="str">
        <f t="shared" si="17"/>
        <v/>
      </c>
      <c r="L25" s="151" t="str">
        <f t="shared" si="18"/>
        <v/>
      </c>
      <c r="M25" s="75" t="str">
        <f t="shared" si="0"/>
        <v/>
      </c>
      <c r="N25" s="75">
        <f t="shared" si="11"/>
        <v>0</v>
      </c>
      <c r="O25" s="74">
        <f t="shared" si="12"/>
        <v>0</v>
      </c>
      <c r="P25" s="74">
        <f t="shared" si="1"/>
        <v>0</v>
      </c>
      <c r="Q25" s="75">
        <f t="shared" si="7"/>
        <v>0</v>
      </c>
      <c r="R25" s="75">
        <f t="shared" si="13"/>
        <v>0</v>
      </c>
      <c r="S25" s="219">
        <f t="shared" si="14"/>
        <v>0</v>
      </c>
      <c r="T25" s="75">
        <f t="shared" si="10"/>
        <v>0</v>
      </c>
    </row>
    <row r="26" spans="1:20" ht="14.5" x14ac:dyDescent="0.35">
      <c r="A26" s="89"/>
      <c r="B26" s="89"/>
      <c r="C26" s="90"/>
      <c r="D26" s="209"/>
      <c r="E26" s="136"/>
      <c r="F26" s="137"/>
      <c r="G26" s="213"/>
      <c r="H26" s="69" t="str">
        <f t="shared" si="15"/>
        <v/>
      </c>
      <c r="I26" s="90"/>
      <c r="J26" s="68" t="str">
        <f t="shared" si="16"/>
        <v/>
      </c>
      <c r="K26" s="215" t="str">
        <f t="shared" si="17"/>
        <v/>
      </c>
      <c r="L26" s="151" t="str">
        <f t="shared" si="18"/>
        <v/>
      </c>
      <c r="M26" s="75" t="str">
        <f t="shared" si="0"/>
        <v/>
      </c>
      <c r="N26" s="75">
        <f t="shared" si="11"/>
        <v>0</v>
      </c>
      <c r="O26" s="74">
        <f t="shared" si="12"/>
        <v>0</v>
      </c>
      <c r="P26" s="74">
        <f t="shared" si="1"/>
        <v>0</v>
      </c>
      <c r="Q26" s="75">
        <f t="shared" si="7"/>
        <v>0</v>
      </c>
      <c r="R26" s="75">
        <f t="shared" si="13"/>
        <v>0</v>
      </c>
      <c r="S26" s="219">
        <f t="shared" si="14"/>
        <v>0</v>
      </c>
      <c r="T26" s="75">
        <f t="shared" si="10"/>
        <v>0</v>
      </c>
    </row>
    <row r="27" spans="1:20" ht="14.5" x14ac:dyDescent="0.35">
      <c r="A27" s="89"/>
      <c r="B27" s="89"/>
      <c r="C27" s="90"/>
      <c r="D27" s="209"/>
      <c r="E27" s="136"/>
      <c r="F27" s="137"/>
      <c r="G27" s="213"/>
      <c r="H27" s="69" t="str">
        <f t="shared" si="15"/>
        <v/>
      </c>
      <c r="I27" s="90"/>
      <c r="J27" s="68" t="str">
        <f t="shared" si="16"/>
        <v/>
      </c>
      <c r="K27" s="215" t="str">
        <f t="shared" si="17"/>
        <v/>
      </c>
      <c r="L27" s="151" t="str">
        <f t="shared" si="18"/>
        <v/>
      </c>
      <c r="M27" s="75" t="str">
        <f t="shared" si="0"/>
        <v/>
      </c>
      <c r="N27" s="75">
        <f t="shared" si="11"/>
        <v>0</v>
      </c>
      <c r="O27" s="74">
        <f t="shared" si="12"/>
        <v>0</v>
      </c>
      <c r="P27" s="74">
        <f t="shared" si="1"/>
        <v>0</v>
      </c>
      <c r="Q27" s="75">
        <f t="shared" si="7"/>
        <v>0</v>
      </c>
      <c r="R27" s="75">
        <f t="shared" si="13"/>
        <v>0</v>
      </c>
      <c r="S27" s="219">
        <f t="shared" si="14"/>
        <v>0</v>
      </c>
      <c r="T27" s="75">
        <f t="shared" si="10"/>
        <v>0</v>
      </c>
    </row>
    <row r="28" spans="1:20" ht="14.5" x14ac:dyDescent="0.35">
      <c r="A28" s="89"/>
      <c r="B28" s="89"/>
      <c r="C28" s="90"/>
      <c r="D28" s="209"/>
      <c r="E28" s="136"/>
      <c r="F28" s="137"/>
      <c r="G28" s="213"/>
      <c r="H28" s="69" t="str">
        <f t="shared" si="15"/>
        <v/>
      </c>
      <c r="I28" s="90"/>
      <c r="J28" s="68" t="str">
        <f t="shared" si="16"/>
        <v/>
      </c>
      <c r="K28" s="215" t="str">
        <f t="shared" si="17"/>
        <v/>
      </c>
      <c r="L28" s="151" t="str">
        <f t="shared" si="18"/>
        <v/>
      </c>
      <c r="M28" s="75" t="str">
        <f t="shared" si="0"/>
        <v/>
      </c>
      <c r="N28" s="75">
        <f t="shared" si="11"/>
        <v>0</v>
      </c>
      <c r="O28" s="74">
        <f t="shared" si="12"/>
        <v>0</v>
      </c>
      <c r="P28" s="74">
        <f t="shared" si="1"/>
        <v>0</v>
      </c>
      <c r="Q28" s="75">
        <f t="shared" si="7"/>
        <v>0</v>
      </c>
      <c r="R28" s="75">
        <f t="shared" si="13"/>
        <v>0</v>
      </c>
      <c r="S28" s="219">
        <f t="shared" si="14"/>
        <v>0</v>
      </c>
      <c r="T28" s="75">
        <f t="shared" si="10"/>
        <v>0</v>
      </c>
    </row>
    <row r="29" spans="1:20" ht="14.5" x14ac:dyDescent="0.35">
      <c r="A29" s="89"/>
      <c r="B29" s="89"/>
      <c r="C29" s="90"/>
      <c r="D29" s="209"/>
      <c r="E29" s="136"/>
      <c r="F29" s="137"/>
      <c r="G29" s="213"/>
      <c r="H29" s="69" t="str">
        <f t="shared" si="15"/>
        <v/>
      </c>
      <c r="I29" s="90"/>
      <c r="J29" s="68" t="str">
        <f t="shared" si="16"/>
        <v/>
      </c>
      <c r="K29" s="215" t="str">
        <f t="shared" si="17"/>
        <v/>
      </c>
      <c r="L29" s="151" t="str">
        <f t="shared" si="18"/>
        <v/>
      </c>
      <c r="M29" s="75" t="str">
        <f t="shared" si="0"/>
        <v/>
      </c>
      <c r="N29" s="75">
        <f t="shared" si="11"/>
        <v>0</v>
      </c>
      <c r="O29" s="74">
        <f t="shared" si="12"/>
        <v>0</v>
      </c>
      <c r="P29" s="74">
        <f t="shared" si="1"/>
        <v>0</v>
      </c>
      <c r="Q29" s="75">
        <f t="shared" si="7"/>
        <v>0</v>
      </c>
      <c r="R29" s="75">
        <f t="shared" si="13"/>
        <v>0</v>
      </c>
      <c r="S29" s="219">
        <f t="shared" si="14"/>
        <v>0</v>
      </c>
      <c r="T29" s="75">
        <f t="shared" si="10"/>
        <v>0</v>
      </c>
    </row>
    <row r="30" spans="1:20" ht="14.5" x14ac:dyDescent="0.35">
      <c r="A30" s="89"/>
      <c r="B30" s="89"/>
      <c r="C30" s="90"/>
      <c r="D30" s="209"/>
      <c r="E30" s="136"/>
      <c r="F30" s="137"/>
      <c r="G30" s="213"/>
      <c r="H30" s="69" t="str">
        <f t="shared" si="15"/>
        <v/>
      </c>
      <c r="I30" s="90"/>
      <c r="J30" s="68" t="str">
        <f t="shared" si="16"/>
        <v/>
      </c>
      <c r="K30" s="215" t="str">
        <f t="shared" si="17"/>
        <v/>
      </c>
      <c r="L30" s="151" t="str">
        <f t="shared" si="18"/>
        <v/>
      </c>
      <c r="M30" s="75" t="str">
        <f t="shared" si="0"/>
        <v/>
      </c>
      <c r="N30" s="75">
        <f t="shared" si="11"/>
        <v>0</v>
      </c>
      <c r="O30" s="74">
        <f t="shared" si="12"/>
        <v>0</v>
      </c>
      <c r="P30" s="74">
        <f t="shared" si="1"/>
        <v>0</v>
      </c>
      <c r="Q30" s="75">
        <f t="shared" si="7"/>
        <v>0</v>
      </c>
      <c r="R30" s="75">
        <f t="shared" si="13"/>
        <v>0</v>
      </c>
      <c r="S30" s="219">
        <f t="shared" si="14"/>
        <v>0</v>
      </c>
      <c r="T30" s="75">
        <f t="shared" si="10"/>
        <v>0</v>
      </c>
    </row>
    <row r="31" spans="1:20" ht="14.5" x14ac:dyDescent="0.35">
      <c r="A31" s="89"/>
      <c r="B31" s="89"/>
      <c r="C31" s="90"/>
      <c r="D31" s="209"/>
      <c r="E31" s="136"/>
      <c r="F31" s="137"/>
      <c r="G31" s="213"/>
      <c r="H31" s="69" t="str">
        <f t="shared" si="15"/>
        <v/>
      </c>
      <c r="I31" s="90"/>
      <c r="J31" s="68" t="str">
        <f t="shared" si="16"/>
        <v/>
      </c>
      <c r="K31" s="215" t="str">
        <f t="shared" si="17"/>
        <v/>
      </c>
      <c r="L31" s="151" t="str">
        <f t="shared" si="18"/>
        <v/>
      </c>
      <c r="M31" s="75" t="str">
        <f t="shared" si="0"/>
        <v/>
      </c>
      <c r="N31" s="75">
        <f t="shared" si="11"/>
        <v>0</v>
      </c>
      <c r="O31" s="74">
        <f t="shared" si="12"/>
        <v>0</v>
      </c>
      <c r="P31" s="74">
        <f t="shared" si="1"/>
        <v>0</v>
      </c>
      <c r="Q31" s="75">
        <f t="shared" si="7"/>
        <v>0</v>
      </c>
      <c r="R31" s="75">
        <f t="shared" si="13"/>
        <v>0</v>
      </c>
      <c r="S31" s="219">
        <f t="shared" si="14"/>
        <v>0</v>
      </c>
      <c r="T31" s="75">
        <f t="shared" si="10"/>
        <v>0</v>
      </c>
    </row>
    <row r="32" spans="1:20" ht="14.5" x14ac:dyDescent="0.35">
      <c r="A32" s="89"/>
      <c r="B32" s="89"/>
      <c r="C32" s="90"/>
      <c r="D32" s="209"/>
      <c r="E32" s="136"/>
      <c r="F32" s="137"/>
      <c r="G32" s="213"/>
      <c r="H32" s="69" t="str">
        <f t="shared" si="15"/>
        <v/>
      </c>
      <c r="I32" s="90"/>
      <c r="J32" s="68" t="str">
        <f t="shared" si="16"/>
        <v/>
      </c>
      <c r="K32" s="215" t="str">
        <f t="shared" si="17"/>
        <v/>
      </c>
      <c r="L32" s="151" t="str">
        <f t="shared" si="18"/>
        <v/>
      </c>
      <c r="M32" s="75" t="str">
        <f t="shared" si="0"/>
        <v/>
      </c>
      <c r="N32" s="75">
        <f t="shared" si="11"/>
        <v>0</v>
      </c>
      <c r="O32" s="74">
        <f t="shared" si="12"/>
        <v>0</v>
      </c>
      <c r="P32" s="74">
        <f t="shared" si="1"/>
        <v>0</v>
      </c>
      <c r="Q32" s="75">
        <f t="shared" si="7"/>
        <v>0</v>
      </c>
      <c r="R32" s="75">
        <f t="shared" si="13"/>
        <v>0</v>
      </c>
      <c r="S32" s="219">
        <f t="shared" si="14"/>
        <v>0</v>
      </c>
      <c r="T32" s="75">
        <f t="shared" si="10"/>
        <v>0</v>
      </c>
    </row>
    <row r="33" spans="1:20" ht="14.5" x14ac:dyDescent="0.35">
      <c r="A33" s="89"/>
      <c r="B33" s="89"/>
      <c r="C33" s="90"/>
      <c r="D33" s="209"/>
      <c r="E33" s="136"/>
      <c r="F33" s="137"/>
      <c r="G33" s="213"/>
      <c r="H33" s="69" t="str">
        <f t="shared" si="15"/>
        <v/>
      </c>
      <c r="I33" s="90"/>
      <c r="J33" s="68" t="str">
        <f t="shared" si="16"/>
        <v/>
      </c>
      <c r="K33" s="215" t="str">
        <f t="shared" si="17"/>
        <v/>
      </c>
      <c r="L33" s="151" t="str">
        <f t="shared" si="18"/>
        <v/>
      </c>
      <c r="M33" s="75" t="str">
        <f t="shared" si="0"/>
        <v/>
      </c>
      <c r="N33" s="75">
        <f t="shared" si="11"/>
        <v>0</v>
      </c>
      <c r="O33" s="74">
        <f t="shared" si="12"/>
        <v>0</v>
      </c>
      <c r="P33" s="74">
        <f t="shared" si="1"/>
        <v>0</v>
      </c>
      <c r="Q33" s="75">
        <f t="shared" si="7"/>
        <v>0</v>
      </c>
      <c r="R33" s="75">
        <f t="shared" si="13"/>
        <v>0</v>
      </c>
      <c r="S33" s="219">
        <f t="shared" si="14"/>
        <v>0</v>
      </c>
      <c r="T33" s="75">
        <f t="shared" si="10"/>
        <v>0</v>
      </c>
    </row>
    <row r="34" spans="1:20" ht="14.5" x14ac:dyDescent="0.35">
      <c r="A34" s="89"/>
      <c r="B34" s="89"/>
      <c r="C34" s="90"/>
      <c r="D34" s="209"/>
      <c r="E34" s="136"/>
      <c r="F34" s="137"/>
      <c r="G34" s="213"/>
      <c r="H34" s="69" t="str">
        <f t="shared" si="15"/>
        <v/>
      </c>
      <c r="I34" s="90"/>
      <c r="J34" s="68" t="str">
        <f t="shared" si="16"/>
        <v/>
      </c>
      <c r="K34" s="215" t="str">
        <f t="shared" si="17"/>
        <v/>
      </c>
      <c r="L34" s="151" t="str">
        <f t="shared" si="18"/>
        <v/>
      </c>
      <c r="M34" s="75" t="str">
        <f t="shared" si="0"/>
        <v/>
      </c>
      <c r="N34" s="75">
        <f t="shared" si="11"/>
        <v>0</v>
      </c>
      <c r="O34" s="74">
        <f t="shared" si="12"/>
        <v>0</v>
      </c>
      <c r="P34" s="74">
        <f t="shared" si="1"/>
        <v>0</v>
      </c>
      <c r="Q34" s="75">
        <f t="shared" si="7"/>
        <v>0</v>
      </c>
      <c r="R34" s="75">
        <f t="shared" si="13"/>
        <v>0</v>
      </c>
      <c r="S34" s="219">
        <f t="shared" si="14"/>
        <v>0</v>
      </c>
      <c r="T34" s="75">
        <f t="shared" si="10"/>
        <v>0</v>
      </c>
    </row>
    <row r="35" spans="1:20" ht="14.5" x14ac:dyDescent="0.35">
      <c r="A35" s="89"/>
      <c r="B35" s="89"/>
      <c r="C35" s="90"/>
      <c r="D35" s="209"/>
      <c r="E35" s="136"/>
      <c r="F35" s="137"/>
      <c r="G35" s="213"/>
      <c r="H35" s="69" t="str">
        <f t="shared" si="15"/>
        <v/>
      </c>
      <c r="I35" s="90"/>
      <c r="J35" s="68" t="str">
        <f t="shared" si="16"/>
        <v/>
      </c>
      <c r="K35" s="215" t="str">
        <f t="shared" si="17"/>
        <v/>
      </c>
      <c r="L35" s="151" t="str">
        <f t="shared" si="18"/>
        <v/>
      </c>
      <c r="M35" s="75" t="str">
        <f t="shared" si="0"/>
        <v/>
      </c>
      <c r="N35" s="75">
        <f t="shared" si="11"/>
        <v>0</v>
      </c>
      <c r="O35" s="74">
        <f t="shared" si="12"/>
        <v>0</v>
      </c>
      <c r="P35" s="74">
        <f t="shared" si="1"/>
        <v>0</v>
      </c>
      <c r="Q35" s="75">
        <f t="shared" si="7"/>
        <v>0</v>
      </c>
      <c r="R35" s="75">
        <f t="shared" si="13"/>
        <v>0</v>
      </c>
      <c r="S35" s="219">
        <f t="shared" si="14"/>
        <v>0</v>
      </c>
      <c r="T35" s="75">
        <f t="shared" si="10"/>
        <v>0</v>
      </c>
    </row>
    <row r="36" spans="1:20" ht="14.5" x14ac:dyDescent="0.35">
      <c r="A36" s="89"/>
      <c r="B36" s="89"/>
      <c r="C36" s="90"/>
      <c r="D36" s="209"/>
      <c r="E36" s="136"/>
      <c r="F36" s="137"/>
      <c r="G36" s="213"/>
      <c r="H36" s="69" t="str">
        <f t="shared" si="15"/>
        <v/>
      </c>
      <c r="I36" s="90"/>
      <c r="J36" s="68" t="str">
        <f t="shared" si="16"/>
        <v/>
      </c>
      <c r="K36" s="215" t="str">
        <f t="shared" si="17"/>
        <v/>
      </c>
      <c r="L36" s="151" t="str">
        <f t="shared" si="18"/>
        <v/>
      </c>
      <c r="M36" s="75" t="str">
        <f t="shared" si="0"/>
        <v/>
      </c>
      <c r="N36" s="75">
        <f t="shared" si="11"/>
        <v>0</v>
      </c>
      <c r="O36" s="74">
        <f t="shared" si="12"/>
        <v>0</v>
      </c>
      <c r="P36" s="74">
        <f t="shared" si="1"/>
        <v>0</v>
      </c>
      <c r="Q36" s="75">
        <f t="shared" si="7"/>
        <v>0</v>
      </c>
      <c r="R36" s="75">
        <f t="shared" si="13"/>
        <v>0</v>
      </c>
      <c r="S36" s="219">
        <f t="shared" si="14"/>
        <v>0</v>
      </c>
      <c r="T36" s="75">
        <f t="shared" si="10"/>
        <v>0</v>
      </c>
    </row>
    <row r="37" spans="1:20" ht="14.5" x14ac:dyDescent="0.35">
      <c r="A37" s="89"/>
      <c r="B37" s="89"/>
      <c r="C37" s="90"/>
      <c r="D37" s="209"/>
      <c r="E37" s="136"/>
      <c r="F37" s="137"/>
      <c r="G37" s="213"/>
      <c r="H37" s="69" t="str">
        <f t="shared" si="15"/>
        <v/>
      </c>
      <c r="I37" s="90"/>
      <c r="J37" s="68" t="str">
        <f t="shared" si="16"/>
        <v/>
      </c>
      <c r="K37" s="215" t="str">
        <f t="shared" si="17"/>
        <v/>
      </c>
      <c r="L37" s="151" t="str">
        <f t="shared" si="18"/>
        <v/>
      </c>
      <c r="M37" s="75" t="str">
        <f t="shared" si="0"/>
        <v/>
      </c>
      <c r="N37" s="75">
        <f t="shared" si="11"/>
        <v>0</v>
      </c>
      <c r="O37" s="74">
        <f t="shared" si="12"/>
        <v>0</v>
      </c>
      <c r="P37" s="74">
        <f t="shared" si="1"/>
        <v>0</v>
      </c>
      <c r="Q37" s="75">
        <f t="shared" si="7"/>
        <v>0</v>
      </c>
      <c r="R37" s="75">
        <f t="shared" si="13"/>
        <v>0</v>
      </c>
      <c r="S37" s="219">
        <f t="shared" si="14"/>
        <v>0</v>
      </c>
      <c r="T37" s="75">
        <f t="shared" si="10"/>
        <v>0</v>
      </c>
    </row>
    <row r="38" spans="1:20" ht="14.5" x14ac:dyDescent="0.35">
      <c r="A38" s="89"/>
      <c r="B38" s="89"/>
      <c r="C38" s="90"/>
      <c r="D38" s="209"/>
      <c r="E38" s="136"/>
      <c r="F38" s="137"/>
      <c r="G38" s="213"/>
      <c r="H38" s="69" t="str">
        <f t="shared" si="15"/>
        <v/>
      </c>
      <c r="I38" s="90"/>
      <c r="J38" s="68" t="str">
        <f t="shared" si="16"/>
        <v/>
      </c>
      <c r="K38" s="215" t="str">
        <f t="shared" si="17"/>
        <v/>
      </c>
      <c r="L38" s="151" t="str">
        <f t="shared" si="18"/>
        <v/>
      </c>
      <c r="M38" s="75" t="str">
        <f t="shared" si="0"/>
        <v/>
      </c>
      <c r="N38" s="75">
        <f t="shared" si="11"/>
        <v>0</v>
      </c>
      <c r="O38" s="74">
        <f t="shared" si="12"/>
        <v>0</v>
      </c>
      <c r="P38" s="74">
        <f t="shared" si="1"/>
        <v>0</v>
      </c>
      <c r="Q38" s="75">
        <f t="shared" si="7"/>
        <v>0</v>
      </c>
      <c r="R38" s="75">
        <f t="shared" si="13"/>
        <v>0</v>
      </c>
      <c r="S38" s="219">
        <f t="shared" si="14"/>
        <v>0</v>
      </c>
      <c r="T38" s="75">
        <f t="shared" si="10"/>
        <v>0</v>
      </c>
    </row>
    <row r="39" spans="1:20" ht="14.5" x14ac:dyDescent="0.35">
      <c r="A39" s="89"/>
      <c r="B39" s="89"/>
      <c r="C39" s="90"/>
      <c r="D39" s="209"/>
      <c r="E39" s="136"/>
      <c r="F39" s="137"/>
      <c r="G39" s="213"/>
      <c r="H39" s="69" t="str">
        <f t="shared" si="15"/>
        <v/>
      </c>
      <c r="I39" s="90"/>
      <c r="J39" s="68" t="str">
        <f t="shared" si="16"/>
        <v/>
      </c>
      <c r="K39" s="215" t="str">
        <f t="shared" si="17"/>
        <v/>
      </c>
      <c r="L39" s="151" t="str">
        <f t="shared" si="18"/>
        <v/>
      </c>
      <c r="M39" s="75" t="str">
        <f t="shared" si="0"/>
        <v/>
      </c>
      <c r="N39" s="75">
        <f t="shared" si="11"/>
        <v>0</v>
      </c>
      <c r="O39" s="74">
        <f t="shared" si="12"/>
        <v>0</v>
      </c>
      <c r="P39" s="74">
        <f t="shared" si="1"/>
        <v>0</v>
      </c>
      <c r="Q39" s="75">
        <f t="shared" si="7"/>
        <v>0</v>
      </c>
      <c r="R39" s="75">
        <f t="shared" si="13"/>
        <v>0</v>
      </c>
      <c r="S39" s="219">
        <f t="shared" si="14"/>
        <v>0</v>
      </c>
      <c r="T39" s="75">
        <f t="shared" si="10"/>
        <v>0</v>
      </c>
    </row>
    <row r="40" spans="1:20" ht="14.5" x14ac:dyDescent="0.35">
      <c r="A40" s="89"/>
      <c r="B40" s="89"/>
      <c r="C40" s="90"/>
      <c r="D40" s="209"/>
      <c r="E40" s="136"/>
      <c r="F40" s="137"/>
      <c r="G40" s="213"/>
      <c r="H40" s="69" t="str">
        <f t="shared" si="15"/>
        <v/>
      </c>
      <c r="I40" s="90"/>
      <c r="J40" s="68" t="str">
        <f t="shared" si="16"/>
        <v/>
      </c>
      <c r="K40" s="215" t="str">
        <f t="shared" si="17"/>
        <v/>
      </c>
      <c r="L40" s="151" t="str">
        <f t="shared" si="18"/>
        <v/>
      </c>
      <c r="M40" s="75" t="str">
        <f t="shared" ref="M40:M70" si="19">IF(C40&gt;0,IF(J40&lt;=3470,$A$72,IF(J40&gt;=4340,$A$74,$A$73)),"")</f>
        <v/>
      </c>
      <c r="N40" s="75">
        <f t="shared" si="11"/>
        <v>0</v>
      </c>
      <c r="O40" s="74">
        <f t="shared" si="12"/>
        <v>0</v>
      </c>
      <c r="P40" s="74">
        <f t="shared" ref="P40:P70" si="20">IF(AND(M40=$A$73,ISBLANK(G40)),1,0)</f>
        <v>0</v>
      </c>
      <c r="Q40" s="75">
        <f t="shared" si="7"/>
        <v>0</v>
      </c>
      <c r="R40" s="75">
        <f t="shared" si="13"/>
        <v>0</v>
      </c>
      <c r="S40" s="219">
        <f t="shared" si="14"/>
        <v>0</v>
      </c>
      <c r="T40" s="75">
        <f t="shared" si="10"/>
        <v>0</v>
      </c>
    </row>
    <row r="41" spans="1:20" ht="14.5" x14ac:dyDescent="0.35">
      <c r="A41" s="89"/>
      <c r="B41" s="89"/>
      <c r="C41" s="90"/>
      <c r="D41" s="209"/>
      <c r="E41" s="136"/>
      <c r="F41" s="137"/>
      <c r="G41" s="213"/>
      <c r="H41" s="69" t="str">
        <f t="shared" si="15"/>
        <v/>
      </c>
      <c r="I41" s="90"/>
      <c r="J41" s="68" t="str">
        <f t="shared" si="16"/>
        <v/>
      </c>
      <c r="K41" s="215" t="str">
        <f t="shared" si="17"/>
        <v/>
      </c>
      <c r="L41" s="151" t="str">
        <f t="shared" si="18"/>
        <v/>
      </c>
      <c r="M41" s="75" t="str">
        <f t="shared" si="19"/>
        <v/>
      </c>
      <c r="N41" s="75">
        <f t="shared" si="11"/>
        <v>0</v>
      </c>
      <c r="O41" s="74">
        <f t="shared" si="12"/>
        <v>0</v>
      </c>
      <c r="P41" s="74">
        <f t="shared" si="20"/>
        <v>0</v>
      </c>
      <c r="Q41" s="75">
        <f t="shared" si="7"/>
        <v>0</v>
      </c>
      <c r="R41" s="75">
        <f t="shared" si="13"/>
        <v>0</v>
      </c>
      <c r="S41" s="219">
        <f t="shared" si="14"/>
        <v>0</v>
      </c>
      <c r="T41" s="75">
        <f t="shared" si="10"/>
        <v>0</v>
      </c>
    </row>
    <row r="42" spans="1:20" ht="14.5" x14ac:dyDescent="0.35">
      <c r="A42" s="89"/>
      <c r="B42" s="89"/>
      <c r="C42" s="90"/>
      <c r="D42" s="209"/>
      <c r="E42" s="136"/>
      <c r="F42" s="137"/>
      <c r="G42" s="213"/>
      <c r="H42" s="69" t="str">
        <f t="shared" si="15"/>
        <v/>
      </c>
      <c r="I42" s="90"/>
      <c r="J42" s="68" t="str">
        <f t="shared" si="16"/>
        <v/>
      </c>
      <c r="K42" s="215" t="str">
        <f t="shared" si="17"/>
        <v/>
      </c>
      <c r="L42" s="151" t="str">
        <f t="shared" si="18"/>
        <v/>
      </c>
      <c r="M42" s="75" t="str">
        <f t="shared" si="19"/>
        <v/>
      </c>
      <c r="N42" s="75">
        <f t="shared" si="11"/>
        <v>0</v>
      </c>
      <c r="O42" s="74">
        <f t="shared" si="12"/>
        <v>0</v>
      </c>
      <c r="P42" s="74">
        <f t="shared" si="20"/>
        <v>0</v>
      </c>
      <c r="Q42" s="75">
        <f t="shared" si="7"/>
        <v>0</v>
      </c>
      <c r="R42" s="75">
        <f t="shared" si="13"/>
        <v>0</v>
      </c>
      <c r="S42" s="219">
        <f t="shared" si="14"/>
        <v>0</v>
      </c>
      <c r="T42" s="75">
        <f t="shared" si="10"/>
        <v>0</v>
      </c>
    </row>
    <row r="43" spans="1:20" ht="14.5" x14ac:dyDescent="0.35">
      <c r="A43" s="89"/>
      <c r="B43" s="89"/>
      <c r="C43" s="90"/>
      <c r="D43" s="209"/>
      <c r="E43" s="136"/>
      <c r="F43" s="137"/>
      <c r="G43" s="213"/>
      <c r="H43" s="69" t="str">
        <f t="shared" si="15"/>
        <v/>
      </c>
      <c r="I43" s="90"/>
      <c r="J43" s="68" t="str">
        <f t="shared" si="16"/>
        <v/>
      </c>
      <c r="K43" s="215" t="str">
        <f t="shared" si="17"/>
        <v/>
      </c>
      <c r="L43" s="151" t="str">
        <f t="shared" si="18"/>
        <v/>
      </c>
      <c r="M43" s="75" t="str">
        <f t="shared" si="19"/>
        <v/>
      </c>
      <c r="N43" s="75">
        <f t="shared" si="11"/>
        <v>0</v>
      </c>
      <c r="O43" s="74">
        <f t="shared" si="12"/>
        <v>0</v>
      </c>
      <c r="P43" s="74">
        <f t="shared" si="20"/>
        <v>0</v>
      </c>
      <c r="Q43" s="75">
        <f t="shared" si="7"/>
        <v>0</v>
      </c>
      <c r="R43" s="75">
        <f t="shared" si="13"/>
        <v>0</v>
      </c>
      <c r="S43" s="219">
        <f t="shared" si="14"/>
        <v>0</v>
      </c>
      <c r="T43" s="75">
        <f t="shared" si="10"/>
        <v>0</v>
      </c>
    </row>
    <row r="44" spans="1:20" ht="14.5" x14ac:dyDescent="0.35">
      <c r="A44" s="89"/>
      <c r="B44" s="89"/>
      <c r="C44" s="90"/>
      <c r="D44" s="209"/>
      <c r="E44" s="136"/>
      <c r="F44" s="137"/>
      <c r="G44" s="213"/>
      <c r="H44" s="69" t="str">
        <f t="shared" si="15"/>
        <v/>
      </c>
      <c r="I44" s="90"/>
      <c r="J44" s="68" t="str">
        <f t="shared" si="16"/>
        <v/>
      </c>
      <c r="K44" s="215" t="str">
        <f t="shared" si="17"/>
        <v/>
      </c>
      <c r="L44" s="151" t="str">
        <f t="shared" si="18"/>
        <v/>
      </c>
      <c r="M44" s="75" t="str">
        <f t="shared" si="19"/>
        <v/>
      </c>
      <c r="N44" s="75">
        <f t="shared" si="11"/>
        <v>0</v>
      </c>
      <c r="O44" s="74">
        <f t="shared" si="12"/>
        <v>0</v>
      </c>
      <c r="P44" s="74">
        <f t="shared" si="20"/>
        <v>0</v>
      </c>
      <c r="Q44" s="75">
        <f t="shared" si="7"/>
        <v>0</v>
      </c>
      <c r="R44" s="75">
        <f t="shared" si="13"/>
        <v>0</v>
      </c>
      <c r="S44" s="219">
        <f t="shared" si="14"/>
        <v>0</v>
      </c>
      <c r="T44" s="75">
        <f t="shared" si="10"/>
        <v>0</v>
      </c>
    </row>
    <row r="45" spans="1:20" ht="14.5" x14ac:dyDescent="0.35">
      <c r="A45" s="89"/>
      <c r="B45" s="89"/>
      <c r="C45" s="90"/>
      <c r="D45" s="209"/>
      <c r="E45" s="136"/>
      <c r="F45" s="137"/>
      <c r="G45" s="213"/>
      <c r="H45" s="69" t="str">
        <f t="shared" si="15"/>
        <v/>
      </c>
      <c r="I45" s="90"/>
      <c r="J45" s="68" t="str">
        <f t="shared" si="16"/>
        <v/>
      </c>
      <c r="K45" s="215" t="str">
        <f t="shared" si="17"/>
        <v/>
      </c>
      <c r="L45" s="151" t="str">
        <f t="shared" si="18"/>
        <v/>
      </c>
      <c r="M45" s="75" t="str">
        <f t="shared" si="19"/>
        <v/>
      </c>
      <c r="N45" s="75">
        <f t="shared" si="11"/>
        <v>0</v>
      </c>
      <c r="O45" s="74">
        <f t="shared" si="12"/>
        <v>0</v>
      </c>
      <c r="P45" s="74">
        <f t="shared" si="20"/>
        <v>0</v>
      </c>
      <c r="Q45" s="75">
        <f t="shared" si="7"/>
        <v>0</v>
      </c>
      <c r="R45" s="75">
        <f t="shared" si="13"/>
        <v>0</v>
      </c>
      <c r="S45" s="219">
        <f t="shared" si="14"/>
        <v>0</v>
      </c>
      <c r="T45" s="75">
        <f t="shared" si="10"/>
        <v>0</v>
      </c>
    </row>
    <row r="46" spans="1:20" ht="14.5" x14ac:dyDescent="0.35">
      <c r="A46" s="89"/>
      <c r="B46" s="89"/>
      <c r="C46" s="90"/>
      <c r="D46" s="209"/>
      <c r="E46" s="136"/>
      <c r="F46" s="137"/>
      <c r="G46" s="213"/>
      <c r="H46" s="69" t="str">
        <f t="shared" si="15"/>
        <v/>
      </c>
      <c r="I46" s="90"/>
      <c r="J46" s="68" t="str">
        <f t="shared" si="16"/>
        <v/>
      </c>
      <c r="K46" s="215" t="str">
        <f t="shared" si="17"/>
        <v/>
      </c>
      <c r="L46" s="151" t="str">
        <f t="shared" si="18"/>
        <v/>
      </c>
      <c r="M46" s="75" t="str">
        <f t="shared" si="19"/>
        <v/>
      </c>
      <c r="N46" s="75">
        <f t="shared" si="11"/>
        <v>0</v>
      </c>
      <c r="O46" s="74">
        <f t="shared" si="12"/>
        <v>0</v>
      </c>
      <c r="P46" s="74">
        <f t="shared" si="20"/>
        <v>0</v>
      </c>
      <c r="Q46" s="75">
        <f t="shared" si="7"/>
        <v>0</v>
      </c>
      <c r="R46" s="75">
        <f t="shared" si="13"/>
        <v>0</v>
      </c>
      <c r="S46" s="219">
        <f t="shared" si="14"/>
        <v>0</v>
      </c>
      <c r="T46" s="75">
        <f t="shared" si="10"/>
        <v>0</v>
      </c>
    </row>
    <row r="47" spans="1:20" ht="14.5" x14ac:dyDescent="0.35">
      <c r="A47" s="89"/>
      <c r="B47" s="89"/>
      <c r="C47" s="90"/>
      <c r="D47" s="209"/>
      <c r="E47" s="136"/>
      <c r="F47" s="137"/>
      <c r="G47" s="213"/>
      <c r="H47" s="69" t="str">
        <f t="shared" si="15"/>
        <v/>
      </c>
      <c r="I47" s="90"/>
      <c r="J47" s="68" t="str">
        <f t="shared" si="16"/>
        <v/>
      </c>
      <c r="K47" s="215" t="str">
        <f t="shared" si="17"/>
        <v/>
      </c>
      <c r="L47" s="151" t="str">
        <f t="shared" si="18"/>
        <v/>
      </c>
      <c r="M47" s="75" t="str">
        <f t="shared" si="19"/>
        <v/>
      </c>
      <c r="N47" s="75">
        <f t="shared" si="11"/>
        <v>0</v>
      </c>
      <c r="O47" s="74">
        <f t="shared" si="12"/>
        <v>0</v>
      </c>
      <c r="P47" s="74">
        <f t="shared" si="20"/>
        <v>0</v>
      </c>
      <c r="Q47" s="75">
        <f t="shared" si="7"/>
        <v>0</v>
      </c>
      <c r="R47" s="75">
        <f t="shared" si="13"/>
        <v>0</v>
      </c>
      <c r="S47" s="219">
        <f t="shared" si="14"/>
        <v>0</v>
      </c>
      <c r="T47" s="75">
        <f t="shared" si="10"/>
        <v>0</v>
      </c>
    </row>
    <row r="48" spans="1:20" ht="14.5" x14ac:dyDescent="0.35">
      <c r="A48" s="89"/>
      <c r="B48" s="89"/>
      <c r="C48" s="90"/>
      <c r="D48" s="209"/>
      <c r="E48" s="136"/>
      <c r="F48" s="137"/>
      <c r="G48" s="213"/>
      <c r="H48" s="69" t="str">
        <f t="shared" si="15"/>
        <v/>
      </c>
      <c r="I48" s="90"/>
      <c r="J48" s="68" t="str">
        <f t="shared" si="16"/>
        <v/>
      </c>
      <c r="K48" s="215" t="str">
        <f t="shared" si="17"/>
        <v/>
      </c>
      <c r="L48" s="151" t="str">
        <f t="shared" si="18"/>
        <v/>
      </c>
      <c r="M48" s="75" t="str">
        <f t="shared" si="19"/>
        <v/>
      </c>
      <c r="N48" s="75">
        <f t="shared" si="11"/>
        <v>0</v>
      </c>
      <c r="O48" s="74">
        <f t="shared" si="12"/>
        <v>0</v>
      </c>
      <c r="P48" s="74">
        <f t="shared" si="20"/>
        <v>0</v>
      </c>
      <c r="Q48" s="75">
        <f t="shared" si="7"/>
        <v>0</v>
      </c>
      <c r="R48" s="75">
        <f t="shared" si="13"/>
        <v>0</v>
      </c>
      <c r="S48" s="219">
        <f t="shared" si="14"/>
        <v>0</v>
      </c>
      <c r="T48" s="75">
        <f t="shared" si="10"/>
        <v>0</v>
      </c>
    </row>
    <row r="49" spans="1:20" ht="14.5" x14ac:dyDescent="0.35">
      <c r="A49" s="89"/>
      <c r="B49" s="89"/>
      <c r="C49" s="90"/>
      <c r="D49" s="209"/>
      <c r="E49" s="136"/>
      <c r="F49" s="137"/>
      <c r="G49" s="213"/>
      <c r="H49" s="69" t="str">
        <f t="shared" si="15"/>
        <v/>
      </c>
      <c r="I49" s="90"/>
      <c r="J49" s="68" t="str">
        <f t="shared" si="16"/>
        <v/>
      </c>
      <c r="K49" s="215" t="str">
        <f t="shared" si="17"/>
        <v/>
      </c>
      <c r="L49" s="151" t="str">
        <f t="shared" si="18"/>
        <v/>
      </c>
      <c r="M49" s="75" t="str">
        <f t="shared" si="19"/>
        <v/>
      </c>
      <c r="N49" s="75">
        <f t="shared" si="11"/>
        <v>0</v>
      </c>
      <c r="O49" s="74">
        <f t="shared" si="12"/>
        <v>0</v>
      </c>
      <c r="P49" s="74">
        <f t="shared" si="20"/>
        <v>0</v>
      </c>
      <c r="Q49" s="75">
        <f t="shared" si="7"/>
        <v>0</v>
      </c>
      <c r="R49" s="75">
        <f t="shared" si="13"/>
        <v>0</v>
      </c>
      <c r="S49" s="219">
        <f t="shared" si="14"/>
        <v>0</v>
      </c>
      <c r="T49" s="75">
        <f t="shared" si="10"/>
        <v>0</v>
      </c>
    </row>
    <row r="50" spans="1:20" ht="14.5" x14ac:dyDescent="0.35">
      <c r="A50" s="89"/>
      <c r="B50" s="89"/>
      <c r="C50" s="90"/>
      <c r="D50" s="209"/>
      <c r="E50" s="136"/>
      <c r="F50" s="137"/>
      <c r="G50" s="213"/>
      <c r="H50" s="69" t="str">
        <f t="shared" si="15"/>
        <v/>
      </c>
      <c r="I50" s="90"/>
      <c r="J50" s="68" t="str">
        <f t="shared" si="16"/>
        <v/>
      </c>
      <c r="K50" s="215" t="str">
        <f t="shared" si="17"/>
        <v/>
      </c>
      <c r="L50" s="151" t="str">
        <f t="shared" si="18"/>
        <v/>
      </c>
      <c r="M50" s="75" t="str">
        <f t="shared" si="19"/>
        <v/>
      </c>
      <c r="N50" s="75">
        <f t="shared" si="11"/>
        <v>0</v>
      </c>
      <c r="O50" s="74">
        <f t="shared" si="12"/>
        <v>0</v>
      </c>
      <c r="P50" s="74">
        <f t="shared" si="20"/>
        <v>0</v>
      </c>
      <c r="Q50" s="75">
        <f t="shared" si="7"/>
        <v>0</v>
      </c>
      <c r="R50" s="75">
        <f t="shared" si="13"/>
        <v>0</v>
      </c>
      <c r="S50" s="219">
        <f t="shared" si="14"/>
        <v>0</v>
      </c>
      <c r="T50" s="75">
        <f t="shared" si="10"/>
        <v>0</v>
      </c>
    </row>
    <row r="51" spans="1:20" ht="14.5" x14ac:dyDescent="0.35">
      <c r="A51" s="89"/>
      <c r="B51" s="89"/>
      <c r="C51" s="90"/>
      <c r="D51" s="209"/>
      <c r="E51" s="136"/>
      <c r="F51" s="137"/>
      <c r="G51" s="213"/>
      <c r="H51" s="69" t="str">
        <f t="shared" si="15"/>
        <v/>
      </c>
      <c r="I51" s="90"/>
      <c r="J51" s="68" t="str">
        <f t="shared" si="16"/>
        <v/>
      </c>
      <c r="K51" s="215" t="str">
        <f t="shared" si="17"/>
        <v/>
      </c>
      <c r="L51" s="151" t="str">
        <f t="shared" si="18"/>
        <v/>
      </c>
      <c r="M51" s="75" t="str">
        <f t="shared" si="19"/>
        <v/>
      </c>
      <c r="N51" s="75">
        <f t="shared" si="11"/>
        <v>0</v>
      </c>
      <c r="O51" s="74">
        <f t="shared" si="12"/>
        <v>0</v>
      </c>
      <c r="P51" s="74">
        <f t="shared" si="20"/>
        <v>0</v>
      </c>
      <c r="Q51" s="75">
        <f t="shared" si="7"/>
        <v>0</v>
      </c>
      <c r="R51" s="75">
        <f t="shared" si="13"/>
        <v>0</v>
      </c>
      <c r="S51" s="219">
        <f t="shared" si="14"/>
        <v>0</v>
      </c>
      <c r="T51" s="75">
        <f t="shared" si="10"/>
        <v>0</v>
      </c>
    </row>
    <row r="52" spans="1:20" ht="14.5" x14ac:dyDescent="0.35">
      <c r="A52" s="89"/>
      <c r="B52" s="89"/>
      <c r="C52" s="90"/>
      <c r="D52" s="209"/>
      <c r="E52" s="136"/>
      <c r="F52" s="137"/>
      <c r="G52" s="213"/>
      <c r="H52" s="69" t="str">
        <f t="shared" si="15"/>
        <v/>
      </c>
      <c r="I52" s="90"/>
      <c r="J52" s="68" t="str">
        <f t="shared" si="16"/>
        <v/>
      </c>
      <c r="K52" s="215" t="str">
        <f t="shared" si="17"/>
        <v/>
      </c>
      <c r="L52" s="151" t="str">
        <f t="shared" si="18"/>
        <v/>
      </c>
      <c r="M52" s="75" t="str">
        <f t="shared" si="19"/>
        <v/>
      </c>
      <c r="N52" s="75">
        <f t="shared" si="11"/>
        <v>0</v>
      </c>
      <c r="O52" s="74">
        <f t="shared" si="12"/>
        <v>0</v>
      </c>
      <c r="P52" s="74">
        <f t="shared" si="20"/>
        <v>0</v>
      </c>
      <c r="Q52" s="75">
        <f t="shared" si="7"/>
        <v>0</v>
      </c>
      <c r="R52" s="75">
        <f t="shared" si="13"/>
        <v>0</v>
      </c>
      <c r="S52" s="219">
        <f t="shared" si="14"/>
        <v>0</v>
      </c>
      <c r="T52" s="75">
        <f t="shared" si="10"/>
        <v>0</v>
      </c>
    </row>
    <row r="53" spans="1:20" ht="14.5" x14ac:dyDescent="0.35">
      <c r="A53" s="89"/>
      <c r="B53" s="89"/>
      <c r="C53" s="90"/>
      <c r="D53" s="209"/>
      <c r="E53" s="136"/>
      <c r="F53" s="137"/>
      <c r="G53" s="213"/>
      <c r="H53" s="69" t="str">
        <f t="shared" si="15"/>
        <v/>
      </c>
      <c r="I53" s="90"/>
      <c r="J53" s="68" t="str">
        <f t="shared" si="16"/>
        <v/>
      </c>
      <c r="K53" s="215" t="str">
        <f t="shared" si="17"/>
        <v/>
      </c>
      <c r="L53" s="151" t="str">
        <f t="shared" si="18"/>
        <v/>
      </c>
      <c r="M53" s="75" t="str">
        <f t="shared" si="19"/>
        <v/>
      </c>
      <c r="N53" s="75">
        <f t="shared" si="11"/>
        <v>0</v>
      </c>
      <c r="O53" s="74">
        <f t="shared" si="12"/>
        <v>0</v>
      </c>
      <c r="P53" s="74">
        <f t="shared" si="20"/>
        <v>0</v>
      </c>
      <c r="Q53" s="75">
        <f t="shared" si="7"/>
        <v>0</v>
      </c>
      <c r="R53" s="75">
        <f t="shared" si="13"/>
        <v>0</v>
      </c>
      <c r="S53" s="219">
        <f t="shared" si="14"/>
        <v>0</v>
      </c>
      <c r="T53" s="75">
        <f t="shared" si="10"/>
        <v>0</v>
      </c>
    </row>
    <row r="54" spans="1:20" ht="14.5" x14ac:dyDescent="0.35">
      <c r="A54" s="89"/>
      <c r="B54" s="89"/>
      <c r="C54" s="90"/>
      <c r="D54" s="209"/>
      <c r="E54" s="136"/>
      <c r="F54" s="137"/>
      <c r="G54" s="213"/>
      <c r="H54" s="69" t="str">
        <f t="shared" si="15"/>
        <v/>
      </c>
      <c r="I54" s="90"/>
      <c r="J54" s="68" t="str">
        <f t="shared" si="16"/>
        <v/>
      </c>
      <c r="K54" s="215" t="str">
        <f t="shared" si="17"/>
        <v/>
      </c>
      <c r="L54" s="151" t="str">
        <f t="shared" si="18"/>
        <v/>
      </c>
      <c r="M54" s="75" t="str">
        <f t="shared" si="19"/>
        <v/>
      </c>
      <c r="N54" s="75">
        <f t="shared" si="11"/>
        <v>0</v>
      </c>
      <c r="O54" s="74">
        <f t="shared" si="12"/>
        <v>0</v>
      </c>
      <c r="P54" s="74">
        <f t="shared" si="20"/>
        <v>0</v>
      </c>
      <c r="Q54" s="75">
        <f t="shared" si="7"/>
        <v>0</v>
      </c>
      <c r="R54" s="75">
        <f t="shared" si="13"/>
        <v>0</v>
      </c>
      <c r="S54" s="219">
        <f t="shared" si="14"/>
        <v>0</v>
      </c>
      <c r="T54" s="75">
        <f t="shared" si="10"/>
        <v>0</v>
      </c>
    </row>
    <row r="55" spans="1:20" ht="14.5" x14ac:dyDescent="0.35">
      <c r="A55" s="89"/>
      <c r="B55" s="89"/>
      <c r="C55" s="90"/>
      <c r="D55" s="209"/>
      <c r="E55" s="136"/>
      <c r="F55" s="137"/>
      <c r="G55" s="213"/>
      <c r="H55" s="69" t="str">
        <f t="shared" si="15"/>
        <v/>
      </c>
      <c r="I55" s="90"/>
      <c r="J55" s="68" t="str">
        <f t="shared" si="16"/>
        <v/>
      </c>
      <c r="K55" s="215" t="str">
        <f t="shared" si="17"/>
        <v/>
      </c>
      <c r="L55" s="151" t="str">
        <f t="shared" si="18"/>
        <v/>
      </c>
      <c r="M55" s="75" t="str">
        <f t="shared" si="19"/>
        <v/>
      </c>
      <c r="N55" s="75">
        <f t="shared" si="11"/>
        <v>0</v>
      </c>
      <c r="O55" s="74">
        <f t="shared" si="12"/>
        <v>0</v>
      </c>
      <c r="P55" s="74">
        <f t="shared" si="20"/>
        <v>0</v>
      </c>
      <c r="Q55" s="75">
        <f t="shared" si="7"/>
        <v>0</v>
      </c>
      <c r="R55" s="75">
        <f t="shared" si="13"/>
        <v>0</v>
      </c>
      <c r="S55" s="219">
        <f t="shared" si="14"/>
        <v>0</v>
      </c>
      <c r="T55" s="75">
        <f t="shared" si="10"/>
        <v>0</v>
      </c>
    </row>
    <row r="56" spans="1:20" ht="14.5" x14ac:dyDescent="0.35">
      <c r="A56" s="89"/>
      <c r="B56" s="89"/>
      <c r="C56" s="90"/>
      <c r="D56" s="209"/>
      <c r="E56" s="136"/>
      <c r="F56" s="137"/>
      <c r="G56" s="213"/>
      <c r="H56" s="69" t="str">
        <f t="shared" si="15"/>
        <v/>
      </c>
      <c r="I56" s="90"/>
      <c r="J56" s="68" t="str">
        <f t="shared" ref="J56:J70" si="21">IF(C56*D56&gt;0,+C56/D56,"")</f>
        <v/>
      </c>
      <c r="K56" s="215" t="str">
        <f t="shared" ref="K56:K70" si="22">IF(C56*D56&gt;0,+E56*G56,"")</f>
        <v/>
      </c>
      <c r="L56" s="151" t="str">
        <f t="shared" si="18"/>
        <v/>
      </c>
      <c r="M56" s="75" t="str">
        <f t="shared" si="19"/>
        <v/>
      </c>
      <c r="N56" s="75">
        <f t="shared" si="11"/>
        <v>0</v>
      </c>
      <c r="O56" s="74">
        <f t="shared" ref="O56:O70" si="23">IF(F56&gt;E56,1,0)</f>
        <v>0</v>
      </c>
      <c r="P56" s="74">
        <f t="shared" si="20"/>
        <v>0</v>
      </c>
      <c r="Q56" s="75">
        <f t="shared" si="7"/>
        <v>0</v>
      </c>
      <c r="R56" s="75">
        <f t="shared" ref="R56:R70" si="24">IF(AND(F56&lt;1,I56&gt;0),1,0)</f>
        <v>0</v>
      </c>
      <c r="S56" s="219">
        <f t="shared" ref="S56:S70" si="25">IF(AND(ISBLANK(A56),ISBLANK(C56),ISBLANK(D56),ISBLANK(E56),ISBLANK(F56),ISBLANK(G56),ISBLANK(I56)),0,IF(ISBLANK(B56),1,0))</f>
        <v>0</v>
      </c>
      <c r="T56" s="75">
        <f t="shared" si="10"/>
        <v>0</v>
      </c>
    </row>
    <row r="57" spans="1:20" ht="14.5" x14ac:dyDescent="0.35">
      <c r="A57" s="89"/>
      <c r="B57" s="89"/>
      <c r="C57" s="90"/>
      <c r="D57" s="209"/>
      <c r="E57" s="136"/>
      <c r="F57" s="137"/>
      <c r="G57" s="213"/>
      <c r="H57" s="69" t="str">
        <f t="shared" si="15"/>
        <v/>
      </c>
      <c r="I57" s="90"/>
      <c r="J57" s="68" t="str">
        <f t="shared" si="21"/>
        <v/>
      </c>
      <c r="K57" s="215" t="str">
        <f t="shared" si="22"/>
        <v/>
      </c>
      <c r="L57" s="151" t="str">
        <f t="shared" si="18"/>
        <v/>
      </c>
      <c r="M57" s="75" t="str">
        <f t="shared" si="19"/>
        <v/>
      </c>
      <c r="N57" s="75">
        <f t="shared" si="11"/>
        <v>0</v>
      </c>
      <c r="O57" s="74">
        <f t="shared" si="23"/>
        <v>0</v>
      </c>
      <c r="P57" s="74">
        <f t="shared" si="20"/>
        <v>0</v>
      </c>
      <c r="Q57" s="75">
        <f t="shared" si="7"/>
        <v>0</v>
      </c>
      <c r="R57" s="75">
        <f t="shared" si="24"/>
        <v>0</v>
      </c>
      <c r="S57" s="219">
        <f t="shared" si="25"/>
        <v>0</v>
      </c>
      <c r="T57" s="75">
        <f t="shared" si="10"/>
        <v>0</v>
      </c>
    </row>
    <row r="58" spans="1:20" ht="14.5" x14ac:dyDescent="0.35">
      <c r="A58" s="89"/>
      <c r="B58" s="89"/>
      <c r="C58" s="90"/>
      <c r="D58" s="209"/>
      <c r="E58" s="136"/>
      <c r="F58" s="137"/>
      <c r="G58" s="213"/>
      <c r="H58" s="69" t="str">
        <f t="shared" si="15"/>
        <v/>
      </c>
      <c r="I58" s="90"/>
      <c r="J58" s="68" t="str">
        <f t="shared" si="21"/>
        <v/>
      </c>
      <c r="K58" s="215" t="str">
        <f t="shared" si="22"/>
        <v/>
      </c>
      <c r="L58" s="151" t="str">
        <f t="shared" si="18"/>
        <v/>
      </c>
      <c r="M58" s="75" t="str">
        <f t="shared" si="19"/>
        <v/>
      </c>
      <c r="N58" s="75">
        <f t="shared" si="11"/>
        <v>0</v>
      </c>
      <c r="O58" s="74">
        <f t="shared" si="23"/>
        <v>0</v>
      </c>
      <c r="P58" s="74">
        <f t="shared" si="20"/>
        <v>0</v>
      </c>
      <c r="Q58" s="75">
        <f t="shared" si="7"/>
        <v>0</v>
      </c>
      <c r="R58" s="75">
        <f t="shared" si="24"/>
        <v>0</v>
      </c>
      <c r="S58" s="219">
        <f t="shared" si="25"/>
        <v>0</v>
      </c>
      <c r="T58" s="75">
        <f t="shared" si="10"/>
        <v>0</v>
      </c>
    </row>
    <row r="59" spans="1:20" ht="14.5" x14ac:dyDescent="0.35">
      <c r="A59" s="89"/>
      <c r="B59" s="89"/>
      <c r="C59" s="90"/>
      <c r="D59" s="209"/>
      <c r="E59" s="136"/>
      <c r="F59" s="137"/>
      <c r="G59" s="213"/>
      <c r="H59" s="69" t="str">
        <f t="shared" si="15"/>
        <v/>
      </c>
      <c r="I59" s="90"/>
      <c r="J59" s="68" t="str">
        <f t="shared" si="21"/>
        <v/>
      </c>
      <c r="K59" s="215" t="str">
        <f t="shared" si="22"/>
        <v/>
      </c>
      <c r="L59" s="151" t="str">
        <f t="shared" si="18"/>
        <v/>
      </c>
      <c r="M59" s="75" t="str">
        <f t="shared" si="19"/>
        <v/>
      </c>
      <c r="N59" s="75">
        <f t="shared" si="11"/>
        <v>0</v>
      </c>
      <c r="O59" s="74">
        <f t="shared" si="23"/>
        <v>0</v>
      </c>
      <c r="P59" s="74">
        <f t="shared" si="20"/>
        <v>0</v>
      </c>
      <c r="Q59" s="75">
        <f t="shared" si="7"/>
        <v>0</v>
      </c>
      <c r="R59" s="75">
        <f t="shared" si="24"/>
        <v>0</v>
      </c>
      <c r="S59" s="219">
        <f t="shared" si="25"/>
        <v>0</v>
      </c>
      <c r="T59" s="75">
        <f t="shared" si="10"/>
        <v>0</v>
      </c>
    </row>
    <row r="60" spans="1:20" ht="14.5" x14ac:dyDescent="0.35">
      <c r="A60" s="89"/>
      <c r="B60" s="89"/>
      <c r="C60" s="90"/>
      <c r="D60" s="209"/>
      <c r="E60" s="136"/>
      <c r="F60" s="137"/>
      <c r="G60" s="213"/>
      <c r="H60" s="69" t="str">
        <f t="shared" si="15"/>
        <v/>
      </c>
      <c r="I60" s="90"/>
      <c r="J60" s="68" t="str">
        <f t="shared" si="21"/>
        <v/>
      </c>
      <c r="K60" s="215" t="str">
        <f t="shared" si="22"/>
        <v/>
      </c>
      <c r="L60" s="151" t="str">
        <f t="shared" si="18"/>
        <v/>
      </c>
      <c r="M60" s="75" t="str">
        <f t="shared" si="19"/>
        <v/>
      </c>
      <c r="N60" s="75">
        <f t="shared" si="11"/>
        <v>0</v>
      </c>
      <c r="O60" s="74">
        <f t="shared" si="23"/>
        <v>0</v>
      </c>
      <c r="P60" s="74">
        <f t="shared" si="20"/>
        <v>0</v>
      </c>
      <c r="Q60" s="75">
        <f t="shared" si="7"/>
        <v>0</v>
      </c>
      <c r="R60" s="75">
        <f t="shared" si="24"/>
        <v>0</v>
      </c>
      <c r="S60" s="219">
        <f t="shared" si="25"/>
        <v>0</v>
      </c>
      <c r="T60" s="75">
        <f t="shared" si="10"/>
        <v>0</v>
      </c>
    </row>
    <row r="61" spans="1:20" ht="14.5" x14ac:dyDescent="0.35">
      <c r="A61" s="89"/>
      <c r="B61" s="89"/>
      <c r="C61" s="90"/>
      <c r="D61" s="209"/>
      <c r="E61" s="136"/>
      <c r="F61" s="137"/>
      <c r="G61" s="213"/>
      <c r="H61" s="69" t="str">
        <f t="shared" si="15"/>
        <v/>
      </c>
      <c r="I61" s="90"/>
      <c r="J61" s="68" t="str">
        <f t="shared" si="21"/>
        <v/>
      </c>
      <c r="K61" s="215" t="str">
        <f t="shared" si="22"/>
        <v/>
      </c>
      <c r="L61" s="151" t="str">
        <f t="shared" si="18"/>
        <v/>
      </c>
      <c r="M61" s="75" t="str">
        <f t="shared" si="19"/>
        <v/>
      </c>
      <c r="N61" s="75">
        <f t="shared" si="11"/>
        <v>0</v>
      </c>
      <c r="O61" s="74">
        <f t="shared" si="23"/>
        <v>0</v>
      </c>
      <c r="P61" s="74">
        <f t="shared" si="20"/>
        <v>0</v>
      </c>
      <c r="Q61" s="75">
        <f t="shared" si="7"/>
        <v>0</v>
      </c>
      <c r="R61" s="75">
        <f t="shared" si="24"/>
        <v>0</v>
      </c>
      <c r="S61" s="219">
        <f t="shared" si="25"/>
        <v>0</v>
      </c>
      <c r="T61" s="75">
        <f t="shared" si="10"/>
        <v>0</v>
      </c>
    </row>
    <row r="62" spans="1:20" ht="14.5" x14ac:dyDescent="0.35">
      <c r="A62" s="89"/>
      <c r="B62" s="89"/>
      <c r="C62" s="90"/>
      <c r="D62" s="209"/>
      <c r="E62" s="136"/>
      <c r="F62" s="137"/>
      <c r="G62" s="213"/>
      <c r="H62" s="69" t="str">
        <f t="shared" si="15"/>
        <v/>
      </c>
      <c r="I62" s="90"/>
      <c r="J62" s="68" t="str">
        <f t="shared" si="21"/>
        <v/>
      </c>
      <c r="K62" s="215" t="str">
        <f t="shared" si="22"/>
        <v/>
      </c>
      <c r="L62" s="151" t="str">
        <f t="shared" si="18"/>
        <v/>
      </c>
      <c r="M62" s="75" t="str">
        <f t="shared" si="19"/>
        <v/>
      </c>
      <c r="N62" s="75">
        <f t="shared" si="11"/>
        <v>0</v>
      </c>
      <c r="O62" s="74">
        <f t="shared" si="23"/>
        <v>0</v>
      </c>
      <c r="P62" s="74">
        <f t="shared" si="20"/>
        <v>0</v>
      </c>
      <c r="Q62" s="75">
        <f t="shared" si="7"/>
        <v>0</v>
      </c>
      <c r="R62" s="75">
        <f t="shared" si="24"/>
        <v>0</v>
      </c>
      <c r="S62" s="219">
        <f t="shared" si="25"/>
        <v>0</v>
      </c>
      <c r="T62" s="75">
        <f t="shared" si="10"/>
        <v>0</v>
      </c>
    </row>
    <row r="63" spans="1:20" ht="14.5" x14ac:dyDescent="0.35">
      <c r="A63" s="89"/>
      <c r="B63" s="89"/>
      <c r="C63" s="90"/>
      <c r="D63" s="209"/>
      <c r="E63" s="136"/>
      <c r="F63" s="137"/>
      <c r="G63" s="213"/>
      <c r="H63" s="69" t="str">
        <f t="shared" si="15"/>
        <v/>
      </c>
      <c r="I63" s="90"/>
      <c r="J63" s="68" t="str">
        <f t="shared" si="21"/>
        <v/>
      </c>
      <c r="K63" s="215" t="str">
        <f t="shared" si="22"/>
        <v/>
      </c>
      <c r="L63" s="151" t="str">
        <f t="shared" si="18"/>
        <v/>
      </c>
      <c r="M63" s="75" t="str">
        <f t="shared" si="19"/>
        <v/>
      </c>
      <c r="N63" s="75">
        <f t="shared" si="11"/>
        <v>0</v>
      </c>
      <c r="O63" s="74">
        <f t="shared" si="23"/>
        <v>0</v>
      </c>
      <c r="P63" s="74">
        <f t="shared" si="20"/>
        <v>0</v>
      </c>
      <c r="Q63" s="75">
        <f t="shared" si="7"/>
        <v>0</v>
      </c>
      <c r="R63" s="75">
        <f t="shared" si="24"/>
        <v>0</v>
      </c>
      <c r="S63" s="219">
        <f t="shared" si="25"/>
        <v>0</v>
      </c>
      <c r="T63" s="75">
        <f t="shared" si="10"/>
        <v>0</v>
      </c>
    </row>
    <row r="64" spans="1:20" ht="14.5" x14ac:dyDescent="0.35">
      <c r="A64" s="89"/>
      <c r="B64" s="89"/>
      <c r="C64" s="90"/>
      <c r="D64" s="209"/>
      <c r="E64" s="136"/>
      <c r="F64" s="137"/>
      <c r="G64" s="213"/>
      <c r="H64" s="69" t="str">
        <f t="shared" si="15"/>
        <v/>
      </c>
      <c r="I64" s="90"/>
      <c r="J64" s="68" t="str">
        <f t="shared" si="21"/>
        <v/>
      </c>
      <c r="K64" s="215" t="str">
        <f t="shared" si="22"/>
        <v/>
      </c>
      <c r="L64" s="151" t="str">
        <f t="shared" si="18"/>
        <v/>
      </c>
      <c r="M64" s="75" t="str">
        <f t="shared" si="19"/>
        <v/>
      </c>
      <c r="N64" s="75">
        <f t="shared" si="11"/>
        <v>0</v>
      </c>
      <c r="O64" s="74">
        <f t="shared" si="23"/>
        <v>0</v>
      </c>
      <c r="P64" s="74">
        <f t="shared" si="20"/>
        <v>0</v>
      </c>
      <c r="Q64" s="75">
        <f t="shared" si="7"/>
        <v>0</v>
      </c>
      <c r="R64" s="75">
        <f t="shared" si="24"/>
        <v>0</v>
      </c>
      <c r="S64" s="219">
        <f t="shared" si="25"/>
        <v>0</v>
      </c>
      <c r="T64" s="75">
        <f t="shared" si="10"/>
        <v>0</v>
      </c>
    </row>
    <row r="65" spans="1:20" ht="14.5" x14ac:dyDescent="0.35">
      <c r="A65" s="89"/>
      <c r="B65" s="89"/>
      <c r="C65" s="90"/>
      <c r="D65" s="209"/>
      <c r="E65" s="136"/>
      <c r="F65" s="137"/>
      <c r="G65" s="213"/>
      <c r="H65" s="69" t="str">
        <f t="shared" si="15"/>
        <v/>
      </c>
      <c r="I65" s="90"/>
      <c r="J65" s="68" t="str">
        <f t="shared" si="21"/>
        <v/>
      </c>
      <c r="K65" s="215" t="str">
        <f t="shared" si="22"/>
        <v/>
      </c>
      <c r="L65" s="151" t="str">
        <f t="shared" si="18"/>
        <v/>
      </c>
      <c r="M65" s="75" t="str">
        <f t="shared" si="19"/>
        <v/>
      </c>
      <c r="N65" s="75">
        <f t="shared" si="11"/>
        <v>0</v>
      </c>
      <c r="O65" s="74">
        <f t="shared" si="23"/>
        <v>0</v>
      </c>
      <c r="P65" s="74">
        <f t="shared" si="20"/>
        <v>0</v>
      </c>
      <c r="Q65" s="75">
        <f t="shared" si="7"/>
        <v>0</v>
      </c>
      <c r="R65" s="75">
        <f t="shared" si="24"/>
        <v>0</v>
      </c>
      <c r="S65" s="219">
        <f t="shared" si="25"/>
        <v>0</v>
      </c>
      <c r="T65" s="75">
        <f t="shared" si="10"/>
        <v>0</v>
      </c>
    </row>
    <row r="66" spans="1:20" ht="14.5" x14ac:dyDescent="0.35">
      <c r="A66" s="89"/>
      <c r="B66" s="89"/>
      <c r="C66" s="90"/>
      <c r="D66" s="209"/>
      <c r="E66" s="136"/>
      <c r="F66" s="137"/>
      <c r="G66" s="213"/>
      <c r="H66" s="69" t="str">
        <f t="shared" si="15"/>
        <v/>
      </c>
      <c r="I66" s="90"/>
      <c r="J66" s="68" t="str">
        <f t="shared" si="21"/>
        <v/>
      </c>
      <c r="K66" s="215" t="str">
        <f t="shared" si="22"/>
        <v/>
      </c>
      <c r="L66" s="151" t="str">
        <f t="shared" si="18"/>
        <v/>
      </c>
      <c r="M66" s="75" t="str">
        <f t="shared" si="19"/>
        <v/>
      </c>
      <c r="N66" s="75">
        <f t="shared" si="11"/>
        <v>0</v>
      </c>
      <c r="O66" s="74">
        <f t="shared" si="23"/>
        <v>0</v>
      </c>
      <c r="P66" s="74">
        <f t="shared" si="20"/>
        <v>0</v>
      </c>
      <c r="Q66" s="75">
        <f t="shared" si="7"/>
        <v>0</v>
      </c>
      <c r="R66" s="75">
        <f t="shared" si="24"/>
        <v>0</v>
      </c>
      <c r="S66" s="219">
        <f t="shared" si="25"/>
        <v>0</v>
      </c>
      <c r="T66" s="75">
        <f t="shared" si="10"/>
        <v>0</v>
      </c>
    </row>
    <row r="67" spans="1:20" ht="14.5" x14ac:dyDescent="0.35">
      <c r="A67" s="89"/>
      <c r="B67" s="89"/>
      <c r="C67" s="90"/>
      <c r="D67" s="209"/>
      <c r="E67" s="136"/>
      <c r="F67" s="137"/>
      <c r="G67" s="213"/>
      <c r="H67" s="69" t="str">
        <f t="shared" si="15"/>
        <v/>
      </c>
      <c r="I67" s="90"/>
      <c r="J67" s="68" t="str">
        <f t="shared" si="21"/>
        <v/>
      </c>
      <c r="K67" s="215" t="str">
        <f t="shared" si="22"/>
        <v/>
      </c>
      <c r="L67" s="151" t="str">
        <f t="shared" si="18"/>
        <v/>
      </c>
      <c r="M67" s="75" t="str">
        <f t="shared" si="19"/>
        <v/>
      </c>
      <c r="N67" s="75">
        <f t="shared" si="11"/>
        <v>0</v>
      </c>
      <c r="O67" s="74">
        <f t="shared" si="23"/>
        <v>0</v>
      </c>
      <c r="P67" s="74">
        <f t="shared" si="20"/>
        <v>0</v>
      </c>
      <c r="Q67" s="75">
        <f t="shared" si="7"/>
        <v>0</v>
      </c>
      <c r="R67" s="75">
        <f t="shared" si="24"/>
        <v>0</v>
      </c>
      <c r="S67" s="219">
        <f t="shared" si="25"/>
        <v>0</v>
      </c>
      <c r="T67" s="75">
        <f t="shared" si="10"/>
        <v>0</v>
      </c>
    </row>
    <row r="68" spans="1:20" ht="14.5" x14ac:dyDescent="0.35">
      <c r="A68" s="89"/>
      <c r="B68" s="89"/>
      <c r="C68" s="90"/>
      <c r="D68" s="209"/>
      <c r="E68" s="136"/>
      <c r="F68" s="137"/>
      <c r="G68" s="213"/>
      <c r="H68" s="69" t="str">
        <f t="shared" si="15"/>
        <v/>
      </c>
      <c r="I68" s="90"/>
      <c r="J68" s="68" t="str">
        <f t="shared" si="21"/>
        <v/>
      </c>
      <c r="K68" s="215" t="str">
        <f t="shared" si="22"/>
        <v/>
      </c>
      <c r="L68" s="151" t="str">
        <f t="shared" si="18"/>
        <v/>
      </c>
      <c r="M68" s="75" t="str">
        <f t="shared" si="19"/>
        <v/>
      </c>
      <c r="N68" s="75">
        <f t="shared" si="11"/>
        <v>0</v>
      </c>
      <c r="O68" s="74">
        <f t="shared" si="23"/>
        <v>0</v>
      </c>
      <c r="P68" s="74">
        <f t="shared" si="20"/>
        <v>0</v>
      </c>
      <c r="Q68" s="75">
        <f t="shared" si="7"/>
        <v>0</v>
      </c>
      <c r="R68" s="75">
        <f t="shared" si="24"/>
        <v>0</v>
      </c>
      <c r="S68" s="219">
        <f t="shared" si="25"/>
        <v>0</v>
      </c>
      <c r="T68" s="75">
        <f t="shared" si="10"/>
        <v>0</v>
      </c>
    </row>
    <row r="69" spans="1:20" ht="14.5" x14ac:dyDescent="0.35">
      <c r="A69" s="89"/>
      <c r="B69" s="89"/>
      <c r="C69" s="90"/>
      <c r="D69" s="209"/>
      <c r="E69" s="136"/>
      <c r="F69" s="137"/>
      <c r="G69" s="213"/>
      <c r="H69" s="69" t="str">
        <f t="shared" si="15"/>
        <v/>
      </c>
      <c r="I69" s="90"/>
      <c r="J69" s="68" t="str">
        <f t="shared" si="21"/>
        <v/>
      </c>
      <c r="K69" s="215" t="str">
        <f t="shared" si="22"/>
        <v/>
      </c>
      <c r="L69" s="151" t="str">
        <f t="shared" si="18"/>
        <v/>
      </c>
      <c r="M69" s="75" t="str">
        <f t="shared" si="19"/>
        <v/>
      </c>
      <c r="N69" s="75">
        <f t="shared" si="11"/>
        <v>0</v>
      </c>
      <c r="O69" s="74">
        <f t="shared" si="23"/>
        <v>0</v>
      </c>
      <c r="P69" s="74">
        <f t="shared" si="20"/>
        <v>0</v>
      </c>
      <c r="Q69" s="75">
        <f t="shared" si="7"/>
        <v>0</v>
      </c>
      <c r="R69" s="75">
        <f t="shared" si="24"/>
        <v>0</v>
      </c>
      <c r="S69" s="219">
        <f t="shared" si="25"/>
        <v>0</v>
      </c>
      <c r="T69" s="75">
        <f t="shared" si="10"/>
        <v>0</v>
      </c>
    </row>
    <row r="70" spans="1:20" ht="14.5" x14ac:dyDescent="0.35">
      <c r="A70" s="89"/>
      <c r="B70" s="89"/>
      <c r="C70" s="90"/>
      <c r="D70" s="209"/>
      <c r="E70" s="136"/>
      <c r="F70" s="137"/>
      <c r="G70" s="213"/>
      <c r="H70" s="69" t="str">
        <f t="shared" si="15"/>
        <v/>
      </c>
      <c r="I70" s="90"/>
      <c r="J70" s="68" t="str">
        <f t="shared" si="21"/>
        <v/>
      </c>
      <c r="K70" s="215" t="str">
        <f t="shared" si="22"/>
        <v/>
      </c>
      <c r="L70" s="151" t="str">
        <f t="shared" si="18"/>
        <v/>
      </c>
      <c r="M70" s="75" t="str">
        <f t="shared" si="19"/>
        <v/>
      </c>
      <c r="N70" s="75">
        <f t="shared" si="11"/>
        <v>0</v>
      </c>
      <c r="O70" s="74">
        <f t="shared" si="23"/>
        <v>0</v>
      </c>
      <c r="P70" s="74">
        <f t="shared" si="20"/>
        <v>0</v>
      </c>
      <c r="Q70" s="75">
        <f t="shared" si="7"/>
        <v>0</v>
      </c>
      <c r="R70" s="75">
        <f t="shared" si="24"/>
        <v>0</v>
      </c>
      <c r="S70" s="219">
        <f t="shared" si="25"/>
        <v>0</v>
      </c>
      <c r="T70" s="75">
        <f t="shared" si="10"/>
        <v>0</v>
      </c>
    </row>
    <row r="71" spans="1:20" ht="61.5" customHeight="1" x14ac:dyDescent="0.3">
      <c r="A71" s="199" t="s">
        <v>102</v>
      </c>
      <c r="B71" s="207"/>
      <c r="C71" s="99"/>
      <c r="D71" s="100"/>
      <c r="E71" s="193" t="s">
        <v>109</v>
      </c>
      <c r="F71" s="194" t="s">
        <v>87</v>
      </c>
      <c r="G71" s="193" t="s">
        <v>88</v>
      </c>
      <c r="H71" s="193" t="s">
        <v>89</v>
      </c>
      <c r="I71" s="193" t="s">
        <v>90</v>
      </c>
      <c r="J71" s="195"/>
      <c r="K71" s="195"/>
      <c r="L71" s="193" t="s">
        <v>91</v>
      </c>
      <c r="M71" s="100"/>
      <c r="N71" s="115"/>
      <c r="O71" s="114"/>
      <c r="P71" s="114"/>
      <c r="Q71" s="115"/>
      <c r="R71" s="115"/>
      <c r="S71" s="115"/>
      <c r="T71" s="115"/>
    </row>
    <row r="72" spans="1:20" x14ac:dyDescent="0.3">
      <c r="A72" s="91" t="str">
        <f>+'Demande-Décompte'!V23</f>
        <v>a) 
&lt;= 3'470</v>
      </c>
      <c r="B72" s="97"/>
      <c r="C72" s="92"/>
      <c r="D72" s="93"/>
      <c r="E72" s="94">
        <f t="shared" ref="E72:F74" si="26">SUMIF($M$8:$M$70,$A72,E$8:E$70)</f>
        <v>0</v>
      </c>
      <c r="F72" s="94">
        <f t="shared" si="26"/>
        <v>0</v>
      </c>
      <c r="G72" s="95" t="s">
        <v>6</v>
      </c>
      <c r="H72" s="96">
        <f t="shared" ref="H72:I74" si="27">SUMIF($M$8:$M$70,$A72,H$8:H$70)</f>
        <v>0</v>
      </c>
      <c r="I72" s="96">
        <f t="shared" si="27"/>
        <v>0</v>
      </c>
      <c r="J72" s="97"/>
      <c r="K72" s="97"/>
      <c r="L72" s="98">
        <f>SUMIF($M$8:$M$70,$A72,L$8:L$70)</f>
        <v>0</v>
      </c>
      <c r="M72" s="97"/>
      <c r="N72" s="94"/>
      <c r="O72" s="91"/>
      <c r="P72" s="91"/>
      <c r="Q72" s="94"/>
      <c r="R72" s="94"/>
      <c r="S72" s="94"/>
      <c r="T72" s="94"/>
    </row>
    <row r="73" spans="1:20" x14ac:dyDescent="0.3">
      <c r="A73" s="74" t="str">
        <f>'Demande-Décompte'!X23</f>
        <v>b) &gt; 3'470 et &lt; 4'340</v>
      </c>
      <c r="B73" s="85"/>
      <c r="C73" s="70"/>
      <c r="D73" s="87"/>
      <c r="E73" s="75">
        <f t="shared" si="26"/>
        <v>0</v>
      </c>
      <c r="F73" s="75">
        <f t="shared" si="26"/>
        <v>0</v>
      </c>
      <c r="G73" s="212" t="str">
        <f>IF(E73=0,"---",SUMIF($M$8:$M$70,$A73,$K$8:$K$70)/E73)</f>
        <v>---</v>
      </c>
      <c r="H73" s="76">
        <f t="shared" si="27"/>
        <v>0</v>
      </c>
      <c r="I73" s="76">
        <f t="shared" si="27"/>
        <v>0</v>
      </c>
      <c r="J73" s="85"/>
      <c r="K73" s="85"/>
      <c r="L73" s="98">
        <f>SUMIF($M$8:$M$70,$A73,L$8:L$70)</f>
        <v>0</v>
      </c>
      <c r="M73" s="85"/>
      <c r="N73" s="75"/>
      <c r="O73" s="74"/>
      <c r="P73" s="74"/>
      <c r="Q73" s="75"/>
      <c r="R73" s="75"/>
      <c r="S73" s="75"/>
      <c r="T73" s="75"/>
    </row>
    <row r="74" spans="1:20" x14ac:dyDescent="0.3">
      <c r="A74" s="77" t="str">
        <f>'Demande-Décompte'!Z23</f>
        <v>c) 
&gt;= 4'340</v>
      </c>
      <c r="B74" s="86"/>
      <c r="C74" s="73"/>
      <c r="D74" s="88"/>
      <c r="E74" s="78">
        <f t="shared" si="26"/>
        <v>0</v>
      </c>
      <c r="F74" s="78">
        <f t="shared" si="26"/>
        <v>0</v>
      </c>
      <c r="G74" s="79" t="s">
        <v>6</v>
      </c>
      <c r="H74" s="80">
        <f t="shared" si="27"/>
        <v>0</v>
      </c>
      <c r="I74" s="80">
        <f t="shared" si="27"/>
        <v>0</v>
      </c>
      <c r="J74" s="86"/>
      <c r="K74" s="86"/>
      <c r="L74" s="98">
        <f>SUMIF($M$8:$M$70,$A74,L$8:L$70)</f>
        <v>0</v>
      </c>
      <c r="M74" s="86"/>
      <c r="N74" s="78"/>
      <c r="O74" s="77"/>
      <c r="P74" s="77"/>
      <c r="Q74" s="78"/>
      <c r="R74" s="78"/>
      <c r="S74" s="78"/>
      <c r="T74" s="78"/>
    </row>
    <row r="75" spans="1:20" x14ac:dyDescent="0.3">
      <c r="A75" s="81" t="s">
        <v>59</v>
      </c>
      <c r="B75" s="66"/>
      <c r="C75" s="84"/>
      <c r="D75" s="66"/>
      <c r="E75" s="82">
        <f>SUM(E72:E74)</f>
        <v>0</v>
      </c>
      <c r="F75" s="82">
        <f>SUM(F72:F74)</f>
        <v>0</v>
      </c>
      <c r="G75" s="82"/>
      <c r="H75" s="83">
        <f>SUM(H72:H74)</f>
        <v>0</v>
      </c>
      <c r="I75" s="83">
        <f>SUM(I72:I74)</f>
        <v>0</v>
      </c>
      <c r="J75" s="66"/>
      <c r="K75" s="66"/>
      <c r="L75" s="83">
        <f>SUM(L72:L74)</f>
        <v>0</v>
      </c>
      <c r="M75" s="66"/>
      <c r="N75" s="117">
        <f>SUM(N8:N70)</f>
        <v>0</v>
      </c>
      <c r="O75" s="116">
        <f>SUM(O8:O70)</f>
        <v>0</v>
      </c>
      <c r="P75" s="116">
        <f>SUM(P8:P70)</f>
        <v>0</v>
      </c>
      <c r="Q75" s="117">
        <f>SUM(Q8:Q70)</f>
        <v>0</v>
      </c>
      <c r="R75" s="117">
        <f>SUM(R8:R70)</f>
        <v>0</v>
      </c>
      <c r="S75" s="117"/>
      <c r="T75" s="117">
        <f>SUM(T8:T70)</f>
        <v>0</v>
      </c>
    </row>
    <row r="77" spans="1:20" ht="14.25" customHeight="1" x14ac:dyDescent="0.3">
      <c r="A77" s="35" t="s">
        <v>54</v>
      </c>
      <c r="B77" s="35"/>
      <c r="C77" s="35"/>
      <c r="D77" s="35"/>
      <c r="E77" s="326" t="s">
        <v>92</v>
      </c>
      <c r="F77" s="327"/>
      <c r="G77" s="327"/>
    </row>
    <row r="78" spans="1:20" ht="6" customHeight="1" x14ac:dyDescent="0.3">
      <c r="A78" s="36"/>
      <c r="B78" s="36"/>
      <c r="C78" s="36"/>
      <c r="D78" s="36"/>
      <c r="E78" s="36"/>
      <c r="F78" s="36"/>
      <c r="G78" s="37"/>
    </row>
    <row r="79" spans="1:20" ht="14.25" customHeight="1" x14ac:dyDescent="0.3">
      <c r="A79" s="324" t="s">
        <v>1</v>
      </c>
      <c r="B79" s="324"/>
      <c r="C79" s="324"/>
      <c r="D79" s="135"/>
      <c r="E79" s="135"/>
      <c r="F79" s="135"/>
      <c r="G79" s="135"/>
    </row>
    <row r="80" spans="1:20" ht="6" customHeight="1" x14ac:dyDescent="0.35">
      <c r="A80" s="62"/>
      <c r="B80" s="62"/>
      <c r="C80" s="62"/>
      <c r="D80" s="1"/>
      <c r="E80" s="62"/>
      <c r="F80" s="62"/>
      <c r="G80" s="62"/>
    </row>
  </sheetData>
  <sheetProtection password="8E1A" sheet="1" selectLockedCells="1"/>
  <mergeCells count="8">
    <mergeCell ref="A79:C79"/>
    <mergeCell ref="A1:M1"/>
    <mergeCell ref="A2:M2"/>
    <mergeCell ref="E77:G77"/>
    <mergeCell ref="C6:G6"/>
    <mergeCell ref="D3:H3"/>
    <mergeCell ref="E5:H5"/>
    <mergeCell ref="F4:H4"/>
  </mergeCells>
  <conditionalFormatting sqref="D8:D70">
    <cfRule type="expression" dxfId="15" priority="81">
      <formula>$T8&gt;0</formula>
    </cfRule>
  </conditionalFormatting>
  <conditionalFormatting sqref="C8:C70 J8:J70 L8:L70">
    <cfRule type="expression" dxfId="14" priority="22">
      <formula>$N8&gt;0</formula>
    </cfRule>
  </conditionalFormatting>
  <conditionalFormatting sqref="G8:G70">
    <cfRule type="expression" dxfId="13" priority="24">
      <formula>$P8&gt;0</formula>
    </cfRule>
  </conditionalFormatting>
  <conditionalFormatting sqref="H8:I70">
    <cfRule type="expression" dxfId="12" priority="52">
      <formula>$Q8&gt;0</formula>
    </cfRule>
  </conditionalFormatting>
  <conditionalFormatting sqref="B8:B70">
    <cfRule type="expression" dxfId="11" priority="54">
      <formula>$S8&gt;0</formula>
    </cfRule>
  </conditionalFormatting>
  <conditionalFormatting sqref="E8:F70">
    <cfRule type="expression" dxfId="10" priority="23">
      <formula>$O8&gt;0</formula>
    </cfRule>
  </conditionalFormatting>
  <conditionalFormatting sqref="I8:I70 F8:F7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58" fitToHeight="6" orientation="landscape" r:id="rId1"/>
  <headerFooter>
    <oddFooter>&amp;LPage &amp;P / &amp;N&amp;RRHT-COVID-19 (V 04.01.2022)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Selection!$A$2:$A$7</xm:f>
          </x14:formula1>
          <xm:sqref>B8</xm:sqref>
        </x14:dataValidation>
        <x14:dataValidation type="list" allowBlank="1" showInputMessage="1" showErrorMessage="1">
          <x14:formula1>
            <xm:f>Selection!$A$2:$A$6</xm:f>
          </x14:formula1>
          <xm:sqref>B9:B70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3"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2" t="s">
        <v>98</v>
      </c>
      <c r="B1" s="333"/>
      <c r="C1" s="333"/>
      <c r="D1" s="333"/>
      <c r="E1" s="333"/>
      <c r="F1" s="333"/>
      <c r="G1" s="333"/>
      <c r="H1" s="333"/>
      <c r="I1" s="333"/>
      <c r="J1" s="333"/>
      <c r="K1" s="333"/>
      <c r="L1" s="333"/>
      <c r="M1" s="112"/>
      <c r="N1" s="112"/>
      <c r="O1" s="112"/>
      <c r="P1" s="112"/>
      <c r="Q1" s="112"/>
    </row>
    <row r="2" spans="1:17" ht="72.75" customHeight="1" x14ac:dyDescent="0.3">
      <c r="A2" s="294" t="s">
        <v>122</v>
      </c>
      <c r="B2" s="294"/>
      <c r="C2" s="294"/>
      <c r="D2" s="294"/>
      <c r="E2" s="294"/>
      <c r="F2" s="294"/>
      <c r="G2" s="294"/>
      <c r="H2" s="294"/>
      <c r="I2" s="294"/>
      <c r="J2" s="294"/>
      <c r="K2" s="294"/>
      <c r="L2" s="294"/>
      <c r="M2" s="294"/>
    </row>
    <row r="3" spans="1:17" ht="16.899999999999999" customHeight="1" x14ac:dyDescent="0.3">
      <c r="A3" s="156" t="str">
        <f>'Demande-Décompte'!A10</f>
        <v>REE + Sct. No.</v>
      </c>
      <c r="B3" s="157">
        <f>'Demande-Décompte'!B10</f>
        <v>0</v>
      </c>
      <c r="C3" s="158" t="str">
        <f>'Demande-Décompte'!A4</f>
        <v>Entreprise</v>
      </c>
      <c r="D3" s="329">
        <f>'Demande-Décompte'!A5</f>
        <v>0</v>
      </c>
      <c r="E3" s="329"/>
      <c r="F3" s="329"/>
      <c r="G3" s="329"/>
      <c r="H3" s="329"/>
    </row>
    <row r="4" spans="1:17" ht="18" customHeight="1" x14ac:dyDescent="0.3">
      <c r="A4" s="64" t="s">
        <v>61</v>
      </c>
      <c r="B4" s="165">
        <f>IF(ISBLANK('Demande-Décompte'!C16),"",'Demande-Décompte'!C16)</f>
        <v>44531</v>
      </c>
      <c r="C4" s="164" t="s">
        <v>63</v>
      </c>
      <c r="D4" s="67">
        <f>NETWORKDAYS(B4,EDATE(B4,1)-1)</f>
        <v>23</v>
      </c>
      <c r="E4" s="63" t="s">
        <v>78</v>
      </c>
      <c r="G4" s="334" t="str">
        <f>IF(MAX(M24:Q24)&gt;0,"S'il vous plaît vérifier vos informations","")</f>
        <v/>
      </c>
      <c r="H4" s="334"/>
      <c r="I4" s="334"/>
    </row>
    <row r="5" spans="1:17" ht="18" customHeight="1" x14ac:dyDescent="0.3">
      <c r="A5" s="64" t="s">
        <v>62</v>
      </c>
      <c r="B5" s="162" t="str">
        <f>IF(ISBLANK('Demande-Décompte'!C19),"",'Demande-Décompte'!C19)</f>
        <v/>
      </c>
      <c r="C5" s="163" t="str">
        <f>IF(ISBLANK('Demande-Décompte'!E19),"",'Demande-Décompte'!E19)</f>
        <v/>
      </c>
      <c r="D5" s="67">
        <f>IF(AND(B5="",C5=""),+D4,NETWORKDAYS(B5,C5))</f>
        <v>23</v>
      </c>
      <c r="E5" t="s">
        <v>79</v>
      </c>
    </row>
    <row r="6" spans="1:17" x14ac:dyDescent="0.3">
      <c r="B6" s="328" t="str">
        <f>IF(B4="","Veuillez sélectionner le mois dans la feuille «Francais»","")</f>
        <v/>
      </c>
      <c r="C6" s="328"/>
      <c r="D6" s="328"/>
      <c r="E6" s="328"/>
    </row>
    <row r="7" spans="1:17" s="31" customFormat="1" ht="90" customHeight="1" x14ac:dyDescent="0.3">
      <c r="A7" s="153" t="s">
        <v>95</v>
      </c>
      <c r="B7" s="196" t="s">
        <v>99</v>
      </c>
      <c r="C7" s="191" t="s">
        <v>64</v>
      </c>
      <c r="D7" s="225" t="s">
        <v>100</v>
      </c>
      <c r="E7" s="197" t="s">
        <v>101</v>
      </c>
      <c r="F7" s="192" t="s">
        <v>65</v>
      </c>
      <c r="G7" s="191" t="s">
        <v>66</v>
      </c>
      <c r="H7" s="191" t="s">
        <v>67</v>
      </c>
      <c r="I7" s="192" t="s">
        <v>85</v>
      </c>
      <c r="J7" s="192" t="s">
        <v>68</v>
      </c>
      <c r="K7" s="192" t="s">
        <v>69</v>
      </c>
      <c r="L7" s="198" t="s">
        <v>102</v>
      </c>
      <c r="M7" s="102" t="s">
        <v>70</v>
      </c>
      <c r="N7" s="113" t="s">
        <v>80</v>
      </c>
      <c r="O7" s="102" t="s">
        <v>71</v>
      </c>
      <c r="P7" s="102" t="s">
        <v>72</v>
      </c>
      <c r="Q7" s="102" t="s">
        <v>73</v>
      </c>
    </row>
    <row r="8" spans="1:17" ht="27" customHeight="1" x14ac:dyDescent="0.35">
      <c r="A8" s="184" t="s">
        <v>121</v>
      </c>
      <c r="B8" s="186">
        <v>50000</v>
      </c>
      <c r="C8" s="154"/>
      <c r="D8" s="187">
        <v>10</v>
      </c>
      <c r="E8" s="188">
        <v>10</v>
      </c>
      <c r="F8" s="155"/>
      <c r="G8" s="186">
        <v>1840</v>
      </c>
      <c r="H8" s="186">
        <v>920</v>
      </c>
      <c r="I8" s="149" t="str">
        <f>IF(B8*C8&gt;0,+B8/C8,"")</f>
        <v/>
      </c>
      <c r="J8" s="150" t="str">
        <f>IF(B8*C8&gt;0,+D8*F8,"")</f>
        <v/>
      </c>
      <c r="K8" s="151">
        <f t="shared" ref="K8" si="0">IF(B8&gt;0,IF(C8&gt;0,+D8*B8,B8)/$D$4*$D$5,"")</f>
        <v>50000</v>
      </c>
      <c r="L8" s="75" t="str">
        <f t="shared" ref="L8:L24" si="1">IF(B8&gt;0,IF(C8&gt;0,IF(I8&lt;=3470,$A$26,IF(I8&gt;=4340,$A$28,$A$27)),IF(D8&gt;0,IF(B8/D8&gt;=4340,$A$28,$Q$7),"")),"")</f>
        <v>c) 
&gt;= 4'340</v>
      </c>
      <c r="M8" s="75">
        <f t="shared" ref="M8:M15" si="2">IF(B8&gt;0,IF(C8&gt;0,IF(I8&gt;12350,1,0),IF(D8&gt;0,IF(B8/D8&gt;12350,1,0),0)),0)</f>
        <v>0</v>
      </c>
      <c r="N8" s="74">
        <f>IF(E8&gt;D8,1,0)</f>
        <v>0</v>
      </c>
      <c r="O8" s="74">
        <f t="shared" ref="O8:O24" si="3">IF(AND(L8=$A$27,ISBLANK(F8)),1,0)</f>
        <v>0</v>
      </c>
      <c r="P8" s="75">
        <f>IF(B8&gt;0,IF(OR(G8="",H8&gt;G8),1,0),0)</f>
        <v>0</v>
      </c>
      <c r="Q8" s="75">
        <f t="shared" ref="Q8:Q24" si="4">IF(AND(B8*MAX(C8:D8)&gt;0,L8&lt;&gt;$A$26,L8&lt;&gt;$A$27,L8&lt;&gt;$A$28),1,0)</f>
        <v>0</v>
      </c>
    </row>
    <row r="9" spans="1:17" x14ac:dyDescent="0.3">
      <c r="A9" s="166"/>
      <c r="B9" s="167"/>
      <c r="C9" s="168"/>
      <c r="D9" s="169"/>
      <c r="E9" s="170"/>
      <c r="F9" s="171"/>
      <c r="G9" s="69" t="str">
        <f t="shared" ref="G9:G18" si="5">IF($B$4="","",IF(B9*C9&gt;0,+F9/5*$D$4*D9*C9,""))</f>
        <v/>
      </c>
      <c r="H9" s="167"/>
      <c r="I9" s="68" t="str">
        <f t="shared" ref="I9:I18" si="6">IF(B9*C9&gt;0,+B9/C9,"")</f>
        <v/>
      </c>
      <c r="J9" s="69" t="str">
        <f t="shared" ref="J9:J18" si="7">IF(B9*C9&gt;0,+D9*F9,"")</f>
        <v/>
      </c>
      <c r="K9" s="69" t="str">
        <f t="shared" ref="K9:K18" si="8">IF(B9&gt;0,IF(C9&gt;0,+D9*B9,B9)/$D$4*$D$5,"")</f>
        <v/>
      </c>
      <c r="L9" s="75" t="str">
        <f t="shared" si="1"/>
        <v/>
      </c>
      <c r="M9" s="75">
        <f t="shared" si="2"/>
        <v>0</v>
      </c>
      <c r="N9" s="74">
        <f t="shared" ref="N9:N18" si="9">IF(E9&gt;D9,1,0)</f>
        <v>0</v>
      </c>
      <c r="O9" s="74">
        <f t="shared" si="3"/>
        <v>0</v>
      </c>
      <c r="P9" s="75">
        <f t="shared" ref="P9:P18" si="10">IF(B9&gt;0,IF(OR(G9="",H9&gt;G9),1,0),0)</f>
        <v>0</v>
      </c>
      <c r="Q9" s="75">
        <f t="shared" si="4"/>
        <v>0</v>
      </c>
    </row>
    <row r="10" spans="1:17" x14ac:dyDescent="0.3">
      <c r="A10" s="166" t="s">
        <v>74</v>
      </c>
      <c r="B10" s="167">
        <v>4500</v>
      </c>
      <c r="C10" s="168">
        <v>0.5</v>
      </c>
      <c r="D10" s="169">
        <v>1</v>
      </c>
      <c r="E10" s="170">
        <v>1</v>
      </c>
      <c r="F10" s="171">
        <v>42</v>
      </c>
      <c r="G10" s="69">
        <f t="shared" si="5"/>
        <v>96.600000000000009</v>
      </c>
      <c r="H10" s="167">
        <v>38.5</v>
      </c>
      <c r="I10" s="68">
        <f t="shared" si="6"/>
        <v>9000</v>
      </c>
      <c r="J10" s="69">
        <f t="shared" si="7"/>
        <v>42</v>
      </c>
      <c r="K10" s="69">
        <f t="shared" si="8"/>
        <v>4500</v>
      </c>
      <c r="L10" s="75" t="str">
        <f t="shared" si="1"/>
        <v>c) 
&gt;= 4'340</v>
      </c>
      <c r="M10" s="75">
        <f t="shared" si="2"/>
        <v>0</v>
      </c>
      <c r="N10" s="74">
        <f t="shared" si="9"/>
        <v>0</v>
      </c>
      <c r="O10" s="74">
        <f t="shared" si="3"/>
        <v>0</v>
      </c>
      <c r="P10" s="75">
        <f t="shared" si="10"/>
        <v>0</v>
      </c>
      <c r="Q10" s="75">
        <f t="shared" si="4"/>
        <v>0</v>
      </c>
    </row>
    <row r="11" spans="1:17" x14ac:dyDescent="0.3">
      <c r="A11" s="166" t="s">
        <v>75</v>
      </c>
      <c r="B11" s="167">
        <v>2000</v>
      </c>
      <c r="C11" s="168">
        <v>0.5</v>
      </c>
      <c r="D11" s="169">
        <v>1</v>
      </c>
      <c r="E11" s="170">
        <v>1</v>
      </c>
      <c r="F11" s="171">
        <v>40</v>
      </c>
      <c r="G11" s="69">
        <f t="shared" si="5"/>
        <v>92</v>
      </c>
      <c r="H11" s="167">
        <v>40</v>
      </c>
      <c r="I11" s="68">
        <f t="shared" si="6"/>
        <v>4000</v>
      </c>
      <c r="J11" s="69">
        <f t="shared" si="7"/>
        <v>40</v>
      </c>
      <c r="K11" s="69">
        <f t="shared" si="8"/>
        <v>2000</v>
      </c>
      <c r="L11" s="75" t="str">
        <f t="shared" si="1"/>
        <v>b) &gt; 3'470 et &lt; 4'340</v>
      </c>
      <c r="M11" s="75">
        <f t="shared" si="2"/>
        <v>0</v>
      </c>
      <c r="N11" s="74">
        <f t="shared" si="9"/>
        <v>0</v>
      </c>
      <c r="O11" s="74">
        <f t="shared" si="3"/>
        <v>0</v>
      </c>
      <c r="P11" s="75">
        <f t="shared" si="10"/>
        <v>0</v>
      </c>
      <c r="Q11" s="75">
        <f t="shared" si="4"/>
        <v>0</v>
      </c>
    </row>
    <row r="12" spans="1:17" x14ac:dyDescent="0.3">
      <c r="A12" s="166" t="s">
        <v>9</v>
      </c>
      <c r="B12" s="167">
        <v>1420</v>
      </c>
      <c r="C12" s="168">
        <v>0.4</v>
      </c>
      <c r="D12" s="169">
        <v>2</v>
      </c>
      <c r="E12" s="170">
        <v>2</v>
      </c>
      <c r="F12" s="171">
        <v>40</v>
      </c>
      <c r="G12" s="69">
        <f t="shared" si="5"/>
        <v>147.20000000000002</v>
      </c>
      <c r="H12" s="167">
        <v>60</v>
      </c>
      <c r="I12" s="68">
        <f t="shared" si="6"/>
        <v>3550</v>
      </c>
      <c r="J12" s="69">
        <f t="shared" si="7"/>
        <v>80</v>
      </c>
      <c r="K12" s="69">
        <f t="shared" si="8"/>
        <v>2840</v>
      </c>
      <c r="L12" s="75" t="str">
        <f t="shared" si="1"/>
        <v>b) &gt; 3'470 et &lt; 4'340</v>
      </c>
      <c r="M12" s="75">
        <f t="shared" si="2"/>
        <v>0</v>
      </c>
      <c r="N12" s="74">
        <f t="shared" si="9"/>
        <v>0</v>
      </c>
      <c r="O12" s="74">
        <f t="shared" si="3"/>
        <v>0</v>
      </c>
      <c r="P12" s="75">
        <f t="shared" si="10"/>
        <v>0</v>
      </c>
      <c r="Q12" s="75">
        <f t="shared" si="4"/>
        <v>0</v>
      </c>
    </row>
    <row r="13" spans="1:17" x14ac:dyDescent="0.3">
      <c r="A13" s="166" t="s">
        <v>10</v>
      </c>
      <c r="B13" s="167">
        <v>2130</v>
      </c>
      <c r="C13" s="168">
        <v>0.6</v>
      </c>
      <c r="D13" s="169">
        <v>2</v>
      </c>
      <c r="E13" s="170">
        <v>2</v>
      </c>
      <c r="F13" s="171">
        <v>40</v>
      </c>
      <c r="G13" s="69">
        <f t="shared" si="5"/>
        <v>220.79999999999998</v>
      </c>
      <c r="H13" s="167">
        <v>100</v>
      </c>
      <c r="I13" s="68">
        <f t="shared" si="6"/>
        <v>3550</v>
      </c>
      <c r="J13" s="69">
        <f t="shared" si="7"/>
        <v>80</v>
      </c>
      <c r="K13" s="69">
        <f t="shared" si="8"/>
        <v>4260</v>
      </c>
      <c r="L13" s="75" t="str">
        <f t="shared" si="1"/>
        <v>b) &gt; 3'470 et &lt; 4'340</v>
      </c>
      <c r="M13" s="75">
        <f t="shared" si="2"/>
        <v>0</v>
      </c>
      <c r="N13" s="74">
        <f t="shared" si="9"/>
        <v>0</v>
      </c>
      <c r="O13" s="74">
        <f t="shared" si="3"/>
        <v>0</v>
      </c>
      <c r="P13" s="75">
        <f t="shared" si="10"/>
        <v>0</v>
      </c>
      <c r="Q13" s="75">
        <f t="shared" si="4"/>
        <v>0</v>
      </c>
    </row>
    <row r="14" spans="1:17" x14ac:dyDescent="0.3">
      <c r="A14" s="166" t="s">
        <v>5</v>
      </c>
      <c r="B14" s="167">
        <v>2780</v>
      </c>
      <c r="C14" s="168">
        <v>1</v>
      </c>
      <c r="D14" s="169">
        <v>6</v>
      </c>
      <c r="E14" s="170">
        <v>4</v>
      </c>
      <c r="F14" s="171">
        <v>40</v>
      </c>
      <c r="G14" s="69">
        <f t="shared" si="5"/>
        <v>1104</v>
      </c>
      <c r="H14" s="167">
        <v>368</v>
      </c>
      <c r="I14" s="68">
        <f t="shared" si="6"/>
        <v>2780</v>
      </c>
      <c r="J14" s="69">
        <f t="shared" si="7"/>
        <v>240</v>
      </c>
      <c r="K14" s="69">
        <f t="shared" si="8"/>
        <v>16680</v>
      </c>
      <c r="L14" s="75" t="str">
        <f t="shared" si="1"/>
        <v>a) 
&lt;= 3'470</v>
      </c>
      <c r="M14" s="75">
        <f t="shared" si="2"/>
        <v>0</v>
      </c>
      <c r="N14" s="74">
        <f t="shared" si="9"/>
        <v>0</v>
      </c>
      <c r="O14" s="74">
        <f t="shared" si="3"/>
        <v>0</v>
      </c>
      <c r="P14" s="75">
        <f t="shared" si="10"/>
        <v>0</v>
      </c>
      <c r="Q14" s="75">
        <f t="shared" si="4"/>
        <v>0</v>
      </c>
    </row>
    <row r="15" spans="1:17" x14ac:dyDescent="0.3">
      <c r="A15" s="166" t="s">
        <v>76</v>
      </c>
      <c r="B15" s="167">
        <v>3000</v>
      </c>
      <c r="C15" s="168">
        <v>1</v>
      </c>
      <c r="D15" s="169">
        <v>2</v>
      </c>
      <c r="E15" s="170">
        <v>1</v>
      </c>
      <c r="F15" s="171">
        <v>45</v>
      </c>
      <c r="G15" s="69">
        <f t="shared" si="5"/>
        <v>414</v>
      </c>
      <c r="H15" s="167">
        <v>31</v>
      </c>
      <c r="I15" s="68">
        <f t="shared" si="6"/>
        <v>3000</v>
      </c>
      <c r="J15" s="69">
        <f t="shared" si="7"/>
        <v>90</v>
      </c>
      <c r="K15" s="69">
        <f t="shared" si="8"/>
        <v>6000</v>
      </c>
      <c r="L15" s="75" t="str">
        <f t="shared" si="1"/>
        <v>a) 
&lt;= 3'470</v>
      </c>
      <c r="M15" s="75">
        <f t="shared" si="2"/>
        <v>0</v>
      </c>
      <c r="N15" s="74">
        <f t="shared" si="9"/>
        <v>0</v>
      </c>
      <c r="O15" s="74">
        <f t="shared" si="3"/>
        <v>0</v>
      </c>
      <c r="P15" s="75">
        <f t="shared" si="10"/>
        <v>0</v>
      </c>
      <c r="Q15" s="75">
        <f t="shared" si="4"/>
        <v>0</v>
      </c>
    </row>
    <row r="16" spans="1:17" x14ac:dyDescent="0.3">
      <c r="A16" s="166"/>
      <c r="B16" s="167"/>
      <c r="C16" s="168"/>
      <c r="D16" s="169"/>
      <c r="E16" s="170"/>
      <c r="F16" s="171"/>
      <c r="G16" s="69" t="str">
        <f t="shared" si="5"/>
        <v/>
      </c>
      <c r="H16" s="167"/>
      <c r="I16" s="68" t="str">
        <f t="shared" si="6"/>
        <v/>
      </c>
      <c r="J16" s="69" t="str">
        <f t="shared" si="7"/>
        <v/>
      </c>
      <c r="K16" s="69" t="str">
        <f t="shared" si="8"/>
        <v/>
      </c>
      <c r="L16" s="75" t="str">
        <f t="shared" si="1"/>
        <v/>
      </c>
      <c r="M16" s="75">
        <f>IF(B16&gt;0,IF(C16&gt;0,IF(I16&gt;12350,1,0),IF(D16&gt;0,IF(B16/D16&gt;12350,1,0),0)),0)</f>
        <v>0</v>
      </c>
      <c r="N16" s="74">
        <f t="shared" si="9"/>
        <v>0</v>
      </c>
      <c r="O16" s="74">
        <f t="shared" si="3"/>
        <v>0</v>
      </c>
      <c r="P16" s="75">
        <f t="shared" si="10"/>
        <v>0</v>
      </c>
      <c r="Q16" s="75">
        <f t="shared" si="4"/>
        <v>0</v>
      </c>
    </row>
    <row r="17" spans="1:17" x14ac:dyDescent="0.3">
      <c r="A17" s="166"/>
      <c r="B17" s="167"/>
      <c r="C17" s="168"/>
      <c r="D17" s="169"/>
      <c r="E17" s="170"/>
      <c r="F17" s="171"/>
      <c r="G17" s="69" t="str">
        <f t="shared" si="5"/>
        <v/>
      </c>
      <c r="H17" s="167"/>
      <c r="I17" s="68" t="str">
        <f t="shared" si="6"/>
        <v/>
      </c>
      <c r="J17" s="69" t="str">
        <f t="shared" si="7"/>
        <v/>
      </c>
      <c r="K17" s="69" t="str">
        <f t="shared" si="8"/>
        <v/>
      </c>
      <c r="L17" s="75" t="str">
        <f t="shared" si="1"/>
        <v/>
      </c>
      <c r="M17" s="75">
        <f t="shared" ref="M17:M22" si="11">IF(B17&gt;0,IF(C17&gt;0,IF(I17&gt;12350,1,0),IF(D17&gt;0,IF(B17/D17&gt;12350,1,0),0)),0)</f>
        <v>0</v>
      </c>
      <c r="N17" s="74">
        <f t="shared" si="9"/>
        <v>0</v>
      </c>
      <c r="O17" s="74">
        <f t="shared" si="3"/>
        <v>0</v>
      </c>
      <c r="P17" s="75">
        <f t="shared" si="10"/>
        <v>0</v>
      </c>
      <c r="Q17" s="75">
        <f t="shared" si="4"/>
        <v>0</v>
      </c>
    </row>
    <row r="18" spans="1:17" outlineLevel="1" x14ac:dyDescent="0.3">
      <c r="A18" s="166"/>
      <c r="B18" s="167"/>
      <c r="C18" s="168"/>
      <c r="D18" s="169"/>
      <c r="E18" s="170"/>
      <c r="F18" s="171"/>
      <c r="G18" s="69" t="str">
        <f t="shared" si="5"/>
        <v/>
      </c>
      <c r="H18" s="167"/>
      <c r="I18" s="68" t="str">
        <f t="shared" si="6"/>
        <v/>
      </c>
      <c r="J18" s="69" t="str">
        <f t="shared" si="7"/>
        <v/>
      </c>
      <c r="K18" s="69" t="str">
        <f t="shared" si="8"/>
        <v/>
      </c>
      <c r="L18" s="75" t="str">
        <f t="shared" si="1"/>
        <v/>
      </c>
      <c r="M18" s="75">
        <f t="shared" si="11"/>
        <v>0</v>
      </c>
      <c r="N18" s="74">
        <f t="shared" si="9"/>
        <v>0</v>
      </c>
      <c r="O18" s="74">
        <f t="shared" si="3"/>
        <v>0</v>
      </c>
      <c r="P18" s="75">
        <f t="shared" si="10"/>
        <v>0</v>
      </c>
      <c r="Q18" s="75">
        <f t="shared" si="4"/>
        <v>0</v>
      </c>
    </row>
    <row r="19" spans="1:17" outlineLevel="1" x14ac:dyDescent="0.3">
      <c r="A19" s="166"/>
      <c r="B19" s="167"/>
      <c r="C19" s="168"/>
      <c r="D19" s="169"/>
      <c r="E19" s="170"/>
      <c r="F19" s="171"/>
      <c r="G19" s="69" t="str">
        <f t="shared" ref="G19:G24" si="12">IF($B$4="","",IF(B19*C19&gt;0,+F19/5*$D$4*D19*C19,""))</f>
        <v/>
      </c>
      <c r="H19" s="167"/>
      <c r="I19" s="68" t="str">
        <f t="shared" ref="I19:I24" si="13">IF(B19*C19&gt;0,+B19/C19,"")</f>
        <v/>
      </c>
      <c r="J19" s="69" t="str">
        <f t="shared" ref="J19:J24" si="14">IF(B19*C19&gt;0,+D19*F19,"")</f>
        <v/>
      </c>
      <c r="K19" s="69" t="str">
        <f t="shared" ref="K19:K24" si="15">IF(B19&gt;0,IF(C19&gt;0,+D19*B19,B19)/$D$4*$D$5,"")</f>
        <v/>
      </c>
      <c r="L19" s="75" t="str">
        <f t="shared" si="1"/>
        <v/>
      </c>
      <c r="M19" s="75">
        <f t="shared" si="11"/>
        <v>0</v>
      </c>
      <c r="N19" s="74">
        <f t="shared" ref="N19:N24" si="16">IF(E19&gt;D19,1,0)</f>
        <v>0</v>
      </c>
      <c r="O19" s="74">
        <f t="shared" si="3"/>
        <v>0</v>
      </c>
      <c r="P19" s="75">
        <f t="shared" ref="P19:P24" si="17">IF(B19&gt;0,IF(OR(G19="",H19&gt;G19),1,0),0)</f>
        <v>0</v>
      </c>
      <c r="Q19" s="75">
        <f t="shared" si="4"/>
        <v>0</v>
      </c>
    </row>
    <row r="20" spans="1:17" outlineLevel="1" x14ac:dyDescent="0.3">
      <c r="A20" s="166"/>
      <c r="B20" s="167"/>
      <c r="C20" s="168"/>
      <c r="D20" s="169"/>
      <c r="E20" s="170"/>
      <c r="F20" s="171"/>
      <c r="G20" s="69" t="str">
        <f t="shared" si="12"/>
        <v/>
      </c>
      <c r="H20" s="167"/>
      <c r="I20" s="68" t="str">
        <f t="shared" si="13"/>
        <v/>
      </c>
      <c r="J20" s="69" t="str">
        <f t="shared" si="14"/>
        <v/>
      </c>
      <c r="K20" s="69" t="str">
        <f t="shared" si="15"/>
        <v/>
      </c>
      <c r="L20" s="75" t="str">
        <f t="shared" si="1"/>
        <v/>
      </c>
      <c r="M20" s="75">
        <f t="shared" si="11"/>
        <v>0</v>
      </c>
      <c r="N20" s="74">
        <f t="shared" si="16"/>
        <v>0</v>
      </c>
      <c r="O20" s="74">
        <f t="shared" si="3"/>
        <v>0</v>
      </c>
      <c r="P20" s="75">
        <f t="shared" si="17"/>
        <v>0</v>
      </c>
      <c r="Q20" s="75">
        <f t="shared" si="4"/>
        <v>0</v>
      </c>
    </row>
    <row r="21" spans="1:17" outlineLevel="1" x14ac:dyDescent="0.3">
      <c r="A21" s="166"/>
      <c r="B21" s="167"/>
      <c r="C21" s="168"/>
      <c r="D21" s="169"/>
      <c r="E21" s="170"/>
      <c r="F21" s="171"/>
      <c r="G21" s="69" t="str">
        <f t="shared" si="12"/>
        <v/>
      </c>
      <c r="H21" s="167"/>
      <c r="I21" s="68" t="str">
        <f t="shared" si="13"/>
        <v/>
      </c>
      <c r="J21" s="69" t="str">
        <f t="shared" si="14"/>
        <v/>
      </c>
      <c r="K21" s="69" t="str">
        <f t="shared" si="15"/>
        <v/>
      </c>
      <c r="L21" s="75" t="str">
        <f t="shared" si="1"/>
        <v/>
      </c>
      <c r="M21" s="75">
        <f t="shared" si="11"/>
        <v>0</v>
      </c>
      <c r="N21" s="74">
        <f t="shared" si="16"/>
        <v>0</v>
      </c>
      <c r="O21" s="74">
        <f t="shared" si="3"/>
        <v>0</v>
      </c>
      <c r="P21" s="75">
        <f t="shared" si="17"/>
        <v>0</v>
      </c>
      <c r="Q21" s="75">
        <f t="shared" si="4"/>
        <v>0</v>
      </c>
    </row>
    <row r="22" spans="1:17" outlineLevel="1" x14ac:dyDescent="0.3">
      <c r="A22" s="166"/>
      <c r="B22" s="167"/>
      <c r="C22" s="168"/>
      <c r="D22" s="169"/>
      <c r="E22" s="170"/>
      <c r="F22" s="171"/>
      <c r="G22" s="69" t="str">
        <f t="shared" si="12"/>
        <v/>
      </c>
      <c r="H22" s="167"/>
      <c r="I22" s="68" t="str">
        <f t="shared" si="13"/>
        <v/>
      </c>
      <c r="J22" s="69" t="str">
        <f t="shared" si="14"/>
        <v/>
      </c>
      <c r="K22" s="69" t="str">
        <f t="shared" si="15"/>
        <v/>
      </c>
      <c r="L22" s="75" t="str">
        <f t="shared" si="1"/>
        <v/>
      </c>
      <c r="M22" s="75">
        <f t="shared" si="11"/>
        <v>0</v>
      </c>
      <c r="N22" s="74">
        <f t="shared" si="16"/>
        <v>0</v>
      </c>
      <c r="O22" s="74">
        <f t="shared" si="3"/>
        <v>0</v>
      </c>
      <c r="P22" s="75">
        <f t="shared" si="17"/>
        <v>0</v>
      </c>
      <c r="Q22" s="75">
        <f t="shared" si="4"/>
        <v>0</v>
      </c>
    </row>
    <row r="23" spans="1:17" outlineLevel="1" x14ac:dyDescent="0.3">
      <c r="A23" s="166"/>
      <c r="B23" s="167"/>
      <c r="C23" s="168"/>
      <c r="D23" s="169"/>
      <c r="E23" s="170"/>
      <c r="F23" s="171"/>
      <c r="G23" s="69" t="str">
        <f t="shared" si="12"/>
        <v/>
      </c>
      <c r="H23" s="167"/>
      <c r="I23" s="68" t="str">
        <f t="shared" si="13"/>
        <v/>
      </c>
      <c r="J23" s="69" t="str">
        <f t="shared" si="14"/>
        <v/>
      </c>
      <c r="K23" s="69" t="str">
        <f t="shared" si="15"/>
        <v/>
      </c>
      <c r="L23" s="75" t="str">
        <f t="shared" si="1"/>
        <v/>
      </c>
      <c r="M23" s="75">
        <f t="shared" ref="M23:M24" si="18">IF(B23&gt;0,IF(C23&gt;0,IF(I23&gt;12350,1,0),IF(D23&gt;0,IF(B23/D23&gt;12350,1,0),0)),0)</f>
        <v>0</v>
      </c>
      <c r="N23" s="74">
        <f t="shared" si="16"/>
        <v>0</v>
      </c>
      <c r="O23" s="74">
        <f t="shared" si="3"/>
        <v>0</v>
      </c>
      <c r="P23" s="75">
        <f t="shared" si="17"/>
        <v>0</v>
      </c>
      <c r="Q23" s="75">
        <f t="shared" si="4"/>
        <v>0</v>
      </c>
    </row>
    <row r="24" spans="1:17" outlineLevel="1" x14ac:dyDescent="0.3">
      <c r="A24" s="172"/>
      <c r="B24" s="167"/>
      <c r="C24" s="168"/>
      <c r="D24" s="169"/>
      <c r="E24" s="170"/>
      <c r="F24" s="171"/>
      <c r="G24" s="72" t="str">
        <f t="shared" si="12"/>
        <v/>
      </c>
      <c r="H24" s="167"/>
      <c r="I24" s="71" t="str">
        <f t="shared" si="13"/>
        <v/>
      </c>
      <c r="J24" s="72" t="str">
        <f t="shared" si="14"/>
        <v/>
      </c>
      <c r="K24" s="69" t="str">
        <f t="shared" si="15"/>
        <v/>
      </c>
      <c r="L24" s="78" t="str">
        <f t="shared" si="1"/>
        <v/>
      </c>
      <c r="M24" s="75">
        <f t="shared" si="18"/>
        <v>0</v>
      </c>
      <c r="N24" s="74">
        <f t="shared" si="16"/>
        <v>0</v>
      </c>
      <c r="O24" s="74">
        <f t="shared" si="3"/>
        <v>0</v>
      </c>
      <c r="P24" s="75">
        <f t="shared" si="17"/>
        <v>0</v>
      </c>
      <c r="Q24" s="75">
        <f t="shared" si="4"/>
        <v>0</v>
      </c>
    </row>
    <row r="25" spans="1:17" ht="61.5" customHeight="1" x14ac:dyDescent="0.3">
      <c r="A25" s="199" t="s">
        <v>102</v>
      </c>
      <c r="B25" s="99"/>
      <c r="C25" s="100"/>
      <c r="D25" s="193" t="s">
        <v>86</v>
      </c>
      <c r="E25" s="194" t="s">
        <v>87</v>
      </c>
      <c r="F25" s="193" t="s">
        <v>88</v>
      </c>
      <c r="G25" s="193" t="s">
        <v>89</v>
      </c>
      <c r="H25" s="193" t="s">
        <v>90</v>
      </c>
      <c r="I25" s="195"/>
      <c r="J25" s="195"/>
      <c r="K25" s="193" t="s">
        <v>91</v>
      </c>
      <c r="L25" s="100"/>
      <c r="M25" s="115"/>
      <c r="N25" s="114"/>
      <c r="O25" s="114"/>
      <c r="P25" s="115"/>
      <c r="Q25" s="115"/>
    </row>
    <row r="26" spans="1:17" x14ac:dyDescent="0.3">
      <c r="A26" s="91" t="str">
        <f>+'Demande-Décompte'!V23</f>
        <v>a) 
&lt;= 3'470</v>
      </c>
      <c r="B26" s="92"/>
      <c r="C26" s="93"/>
      <c r="D26" s="94">
        <f t="shared" ref="D26:E28" si="19">SUMIF($L$8:$L$24,$A26,D$8:D$24)</f>
        <v>8</v>
      </c>
      <c r="E26" s="94">
        <f t="shared" si="19"/>
        <v>5</v>
      </c>
      <c r="F26" s="95" t="s">
        <v>6</v>
      </c>
      <c r="G26" s="96">
        <f t="shared" ref="G26:H28" si="20">SUMIF($L$8:$L$24,$A26,G$8:G$24)</f>
        <v>1518</v>
      </c>
      <c r="H26" s="96">
        <f t="shared" si="20"/>
        <v>399</v>
      </c>
      <c r="I26" s="97"/>
      <c r="J26" s="97"/>
      <c r="K26" s="98">
        <f>SUMIF($L$8:$L$24,$A26,K$8:K$24)</f>
        <v>22680</v>
      </c>
      <c r="L26" s="97"/>
      <c r="M26" s="94"/>
      <c r="N26" s="91"/>
      <c r="O26" s="91"/>
      <c r="P26" s="94"/>
      <c r="Q26" s="94"/>
    </row>
    <row r="27" spans="1:17" x14ac:dyDescent="0.3">
      <c r="A27" s="74" t="str">
        <f>+'Demande-Décompte'!X23</f>
        <v>b) &gt; 3'470 et &lt; 4'340</v>
      </c>
      <c r="B27" s="70"/>
      <c r="C27" s="87"/>
      <c r="D27" s="75">
        <f t="shared" si="19"/>
        <v>5</v>
      </c>
      <c r="E27" s="75">
        <f t="shared" si="19"/>
        <v>5</v>
      </c>
      <c r="F27" s="68">
        <f>IF(D27=0,"---",SUMIF($L$8:$L$24,$A27,$J$8:$J$24)/D27)</f>
        <v>40</v>
      </c>
      <c r="G27" s="76">
        <f t="shared" si="20"/>
        <v>460</v>
      </c>
      <c r="H27" s="76">
        <f t="shared" si="20"/>
        <v>200</v>
      </c>
      <c r="I27" s="85"/>
      <c r="J27" s="85"/>
      <c r="K27" s="68">
        <f>SUMIF($L$8:$L$24,$A27,K$8:K$24)</f>
        <v>9100</v>
      </c>
      <c r="L27" s="85"/>
      <c r="M27" s="75"/>
      <c r="N27" s="74"/>
      <c r="O27" s="74"/>
      <c r="P27" s="75"/>
      <c r="Q27" s="75"/>
    </row>
    <row r="28" spans="1:17" x14ac:dyDescent="0.3">
      <c r="A28" s="77" t="str">
        <f>+'Demande-Décompte'!Z23</f>
        <v>c) 
&gt;= 4'340</v>
      </c>
      <c r="B28" s="73"/>
      <c r="C28" s="88"/>
      <c r="D28" s="78">
        <f t="shared" si="19"/>
        <v>11</v>
      </c>
      <c r="E28" s="78">
        <f t="shared" si="19"/>
        <v>11</v>
      </c>
      <c r="F28" s="79" t="s">
        <v>6</v>
      </c>
      <c r="G28" s="80">
        <f t="shared" si="20"/>
        <v>1936.6</v>
      </c>
      <c r="H28" s="80">
        <f t="shared" si="20"/>
        <v>958.5</v>
      </c>
      <c r="I28" s="86"/>
      <c r="J28" s="86"/>
      <c r="K28" s="71">
        <f>SUMIF($L$8:$L$24,$A28,K$8:K$24)</f>
        <v>54500</v>
      </c>
      <c r="L28" s="86"/>
      <c r="M28" s="78"/>
      <c r="N28" s="77"/>
      <c r="O28" s="77"/>
      <c r="P28" s="78"/>
      <c r="Q28" s="78"/>
    </row>
    <row r="29" spans="1:17" x14ac:dyDescent="0.3">
      <c r="A29" s="81" t="s">
        <v>59</v>
      </c>
      <c r="B29" s="84"/>
      <c r="C29" s="66"/>
      <c r="D29" s="82">
        <f>SUM(D26:D28)</f>
        <v>24</v>
      </c>
      <c r="E29" s="82">
        <f>SUM(E26:E28)</f>
        <v>21</v>
      </c>
      <c r="F29" s="82"/>
      <c r="G29" s="83">
        <f>SUM(G26:G28)</f>
        <v>3914.6</v>
      </c>
      <c r="H29" s="83">
        <f>SUM(H26:H28)</f>
        <v>1557.5</v>
      </c>
      <c r="I29" s="66"/>
      <c r="J29" s="66"/>
      <c r="K29" s="83">
        <f>SUM(K26:K28)</f>
        <v>86280</v>
      </c>
      <c r="L29" s="66"/>
      <c r="M29" s="117">
        <f>SUM(M8:M24)</f>
        <v>0</v>
      </c>
      <c r="N29" s="116">
        <f>SUM(N8:N24)</f>
        <v>0</v>
      </c>
      <c r="O29" s="116">
        <f>SUM(O8:O24)</f>
        <v>0</v>
      </c>
      <c r="P29" s="117">
        <f>SUM(P8:P24)</f>
        <v>0</v>
      </c>
      <c r="Q29" s="117">
        <f>SUM(Q8:Q24)</f>
        <v>0</v>
      </c>
    </row>
    <row r="31" spans="1:17" ht="14.25" customHeight="1" x14ac:dyDescent="0.3">
      <c r="A31" s="35" t="s">
        <v>54</v>
      </c>
      <c r="B31" s="35"/>
      <c r="C31" s="35"/>
      <c r="D31" s="326" t="s">
        <v>92</v>
      </c>
      <c r="E31" s="327"/>
      <c r="F31" s="327"/>
    </row>
    <row r="32" spans="1:17" ht="6" customHeight="1" x14ac:dyDescent="0.3">
      <c r="A32" s="36"/>
      <c r="B32" s="36"/>
      <c r="C32" s="36"/>
      <c r="D32" s="36"/>
      <c r="E32" s="36"/>
      <c r="F32" s="37"/>
    </row>
    <row r="33" spans="1:6" ht="14.25" customHeight="1" x14ac:dyDescent="0.3">
      <c r="A33" s="324" t="s">
        <v>1</v>
      </c>
      <c r="B33" s="324"/>
      <c r="C33" s="135"/>
      <c r="D33" s="135"/>
      <c r="E33" s="135"/>
      <c r="F33" s="135"/>
    </row>
    <row r="34" spans="1:6" ht="6" customHeight="1" x14ac:dyDescent="0.35">
      <c r="A34" s="62"/>
      <c r="B34" s="62"/>
      <c r="C34" s="1"/>
      <c r="D34" s="62"/>
      <c r="E34" s="62"/>
      <c r="F34" s="62"/>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opLeftCell="A4" zoomScale="115" zoomScaleNormal="115" workbookViewId="0">
      <selection activeCell="D5" sqref="D5"/>
    </sheetView>
  </sheetViews>
  <sheetFormatPr baseColWidth="10" defaultRowHeight="14" x14ac:dyDescent="0.3"/>
  <cols>
    <col min="1" max="1" width="95.25" customWidth="1"/>
  </cols>
  <sheetData>
    <row r="1" spans="1:1" ht="52.15" customHeight="1" x14ac:dyDescent="0.3">
      <c r="A1" s="224" t="s">
        <v>113</v>
      </c>
    </row>
    <row r="2" spans="1:1" ht="183.65" customHeight="1" x14ac:dyDescent="0.3">
      <c r="A2" s="220" t="s">
        <v>114</v>
      </c>
    </row>
    <row r="3" spans="1:1" ht="72" customHeight="1" x14ac:dyDescent="0.3">
      <c r="A3" s="220" t="s">
        <v>115</v>
      </c>
    </row>
    <row r="4" spans="1:1" ht="75" customHeight="1" x14ac:dyDescent="0.3">
      <c r="A4" s="220" t="s">
        <v>123</v>
      </c>
    </row>
    <row r="5" spans="1:1" ht="216.65" customHeight="1" x14ac:dyDescent="0.3">
      <c r="A5" s="220" t="s">
        <v>129</v>
      </c>
    </row>
    <row r="6" spans="1:1" ht="75" customHeight="1" x14ac:dyDescent="0.3">
      <c r="A6" s="220" t="s">
        <v>116</v>
      </c>
    </row>
    <row r="7" spans="1:1" ht="105.65" customHeight="1" x14ac:dyDescent="0.3">
      <c r="A7" s="220" t="s">
        <v>117</v>
      </c>
    </row>
    <row r="8" spans="1:1" ht="129" customHeight="1" x14ac:dyDescent="0.3">
      <c r="A8" s="220" t="s">
        <v>118</v>
      </c>
    </row>
    <row r="9" spans="1:1" ht="49.15" customHeight="1" x14ac:dyDescent="0.3">
      <c r="A9" s="220" t="s">
        <v>119</v>
      </c>
    </row>
    <row r="10" spans="1:1" ht="45.65" customHeight="1" x14ac:dyDescent="0.3">
      <c r="A10" s="220" t="s">
        <v>120</v>
      </c>
    </row>
    <row r="11" spans="1:1" x14ac:dyDescent="0.3">
      <c r="A11" s="220"/>
    </row>
    <row r="12" spans="1:1" x14ac:dyDescent="0.3">
      <c r="A12" s="220"/>
    </row>
    <row r="13" spans="1:1" x14ac:dyDescent="0.3">
      <c r="A13" s="220"/>
    </row>
    <row r="14" spans="1:1" x14ac:dyDescent="0.3">
      <c r="A14" s="220"/>
    </row>
    <row r="15" spans="1:1" x14ac:dyDescent="0.3">
      <c r="A15" s="220"/>
    </row>
    <row r="16" spans="1:1" x14ac:dyDescent="0.3">
      <c r="A16" s="220"/>
    </row>
    <row r="17" spans="1:1" x14ac:dyDescent="0.3">
      <c r="A17" s="220"/>
    </row>
  </sheetData>
  <sheetProtection password="8E1A" sheet="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8" sqref="A8"/>
    </sheetView>
  </sheetViews>
  <sheetFormatPr baseColWidth="10" defaultRowHeight="14" x14ac:dyDescent="0.3"/>
  <cols>
    <col min="1" max="1" width="30.33203125" customWidth="1"/>
  </cols>
  <sheetData>
    <row r="1" spans="1:1" x14ac:dyDescent="0.3">
      <c r="A1" s="221" t="s">
        <v>111</v>
      </c>
    </row>
    <row r="2" spans="1:1" x14ac:dyDescent="0.3">
      <c r="A2" s="3" t="s">
        <v>133</v>
      </c>
    </row>
    <row r="3" spans="1:1" x14ac:dyDescent="0.3">
      <c r="A3" s="3" t="s">
        <v>132</v>
      </c>
    </row>
    <row r="4" spans="1:1" x14ac:dyDescent="0.3">
      <c r="A4" s="30" t="s">
        <v>135</v>
      </c>
    </row>
    <row r="5" spans="1:1" x14ac:dyDescent="0.3">
      <c r="A5" s="30" t="s">
        <v>134</v>
      </c>
    </row>
    <row r="6" spans="1:1" x14ac:dyDescent="0.3">
      <c r="A6" t="s">
        <v>130</v>
      </c>
    </row>
    <row r="7" spans="1:1" x14ac:dyDescent="0.3">
      <c r="A7" t="s">
        <v>131</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2022-01-04T13:21:09Z</cp:lastPrinted>
  <dcterms:created xsi:type="dcterms:W3CDTF">2020-03-18T11:14:54Z</dcterms:created>
  <dcterms:modified xsi:type="dcterms:W3CDTF">2022-01-04T13:21:14Z</dcterms:modified>
</cp:coreProperties>
</file>